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-150" windowWidth="17985" windowHeight="7875" tabRatio="828"/>
  </bookViews>
  <sheets>
    <sheet name="수입내역" sheetId="18" r:id="rId1"/>
    <sheet name="2009지출세부내역" sheetId="4" state="hidden" r:id="rId2"/>
    <sheet name="지출내역" sheetId="19" r:id="rId3"/>
  </sheets>
  <definedNames>
    <definedName name="_xlnm.Print_Area" localSheetId="2">지출내역!$A$1:$K$535</definedName>
    <definedName name="_xlnm.Print_Titles" localSheetId="1">'2009지출세부내역'!$3:$4</definedName>
    <definedName name="_xlnm.Print_Titles" localSheetId="0">수입내역!$1:$4</definedName>
    <definedName name="_xlnm.Print_Titles" localSheetId="2">지출내역!$3:$4</definedName>
  </definedNames>
  <calcPr calcId="125725"/>
</workbook>
</file>

<file path=xl/calcChain.xml><?xml version="1.0" encoding="utf-8"?>
<calcChain xmlns="http://schemas.openxmlformats.org/spreadsheetml/2006/main">
  <c r="F505" i="19"/>
  <c r="F471"/>
  <c r="F466"/>
  <c r="F461"/>
  <c r="F329"/>
  <c r="F310"/>
  <c r="F214"/>
  <c r="F193"/>
  <c r="F179"/>
  <c r="F154"/>
  <c r="F58"/>
  <c r="F5"/>
  <c r="F527" s="1"/>
  <c r="F540" s="1"/>
  <c r="F114" i="18"/>
  <c r="F109"/>
  <c r="F106"/>
  <c r="F88"/>
  <c r="F115" s="1"/>
  <c r="F78"/>
  <c r="F64"/>
  <c r="F79" s="1"/>
  <c r="F62"/>
  <c r="F54"/>
  <c r="F49"/>
  <c r="F37"/>
  <c r="F27"/>
  <c r="F20"/>
  <c r="F55" s="1"/>
  <c r="F14"/>
  <c r="J514" i="19"/>
  <c r="J513"/>
  <c r="E506"/>
  <c r="G506" s="1"/>
  <c r="G505" s="1"/>
  <c r="E505"/>
  <c r="D505"/>
  <c r="G503"/>
  <c r="G502"/>
  <c r="G497"/>
  <c r="E497"/>
  <c r="G494"/>
  <c r="E494"/>
  <c r="G493"/>
  <c r="G491"/>
  <c r="G482"/>
  <c r="E471"/>
  <c r="G471" s="1"/>
  <c r="D471"/>
  <c r="G467"/>
  <c r="G466" s="1"/>
  <c r="E466"/>
  <c r="D466"/>
  <c r="J464"/>
  <c r="E462"/>
  <c r="G462" s="1"/>
  <c r="G461" s="1"/>
  <c r="E461"/>
  <c r="D461"/>
  <c r="G454"/>
  <c r="E454"/>
  <c r="G447"/>
  <c r="E447"/>
  <c r="G440"/>
  <c r="E440"/>
  <c r="G433"/>
  <c r="E433"/>
  <c r="G426"/>
  <c r="J419"/>
  <c r="G414"/>
  <c r="J412"/>
  <c r="G408"/>
  <c r="E394"/>
  <c r="G394" s="1"/>
  <c r="G329" s="1"/>
  <c r="J388"/>
  <c r="J387"/>
  <c r="G384"/>
  <c r="J378"/>
  <c r="J377"/>
  <c r="J376"/>
  <c r="G374"/>
  <c r="J369"/>
  <c r="G367"/>
  <c r="J362"/>
  <c r="G360"/>
  <c r="J358"/>
  <c r="J357"/>
  <c r="G351"/>
  <c r="J342"/>
  <c r="G340"/>
  <c r="J332"/>
  <c r="G330"/>
  <c r="E329"/>
  <c r="D329"/>
  <c r="J327"/>
  <c r="G322"/>
  <c r="J320"/>
  <c r="J315"/>
  <c r="J313"/>
  <c r="J312"/>
  <c r="E310"/>
  <c r="D310"/>
  <c r="G310" s="1"/>
  <c r="G308"/>
  <c r="G302"/>
  <c r="E302"/>
  <c r="J292"/>
  <c r="J291"/>
  <c r="G290"/>
  <c r="J283"/>
  <c r="G281"/>
  <c r="J274"/>
  <c r="J273"/>
  <c r="G272"/>
  <c r="J265"/>
  <c r="J264"/>
  <c r="G263"/>
  <c r="J255"/>
  <c r="G253"/>
  <c r="J244"/>
  <c r="G242"/>
  <c r="J237"/>
  <c r="J233"/>
  <c r="G231"/>
  <c r="G226"/>
  <c r="J224"/>
  <c r="J216"/>
  <c r="E214"/>
  <c r="G214" s="1"/>
  <c r="D214"/>
  <c r="J207"/>
  <c r="E205"/>
  <c r="G205" s="1"/>
  <c r="J202"/>
  <c r="G200"/>
  <c r="E200"/>
  <c r="J196"/>
  <c r="J194"/>
  <c r="E193"/>
  <c r="D193"/>
  <c r="G193" s="1"/>
  <c r="G179" s="1"/>
  <c r="J191"/>
  <c r="G189"/>
  <c r="E189"/>
  <c r="J187"/>
  <c r="G180"/>
  <c r="D179"/>
  <c r="J174"/>
  <c r="G166"/>
  <c r="J160"/>
  <c r="G154"/>
  <c r="D154"/>
  <c r="J149"/>
  <c r="J148"/>
  <c r="J146"/>
  <c r="J145"/>
  <c r="G142"/>
  <c r="J138"/>
  <c r="G131"/>
  <c r="J126"/>
  <c r="G119"/>
  <c r="J116"/>
  <c r="G111"/>
  <c r="J107"/>
  <c r="G100"/>
  <c r="G89"/>
  <c r="J82"/>
  <c r="J81"/>
  <c r="J80"/>
  <c r="E79"/>
  <c r="G79" s="1"/>
  <c r="J77"/>
  <c r="J76"/>
  <c r="J75"/>
  <c r="J74"/>
  <c r="J72"/>
  <c r="J70"/>
  <c r="G69"/>
  <c r="G59"/>
  <c r="G58" s="1"/>
  <c r="E58"/>
  <c r="D58"/>
  <c r="G57"/>
  <c r="G53"/>
  <c r="G51"/>
  <c r="J49"/>
  <c r="G49"/>
  <c r="J48"/>
  <c r="G42"/>
  <c r="G41"/>
  <c r="G40"/>
  <c r="G39"/>
  <c r="G38"/>
  <c r="G32"/>
  <c r="G31"/>
  <c r="G29"/>
  <c r="G28"/>
  <c r="J27"/>
  <c r="G26"/>
  <c r="J23"/>
  <c r="G23"/>
  <c r="J21"/>
  <c r="G19"/>
  <c r="J18"/>
  <c r="G16"/>
  <c r="E16"/>
  <c r="J15"/>
  <c r="J13"/>
  <c r="G12"/>
  <c r="G11"/>
  <c r="J10"/>
  <c r="G9"/>
  <c r="J7"/>
  <c r="E6"/>
  <c r="G6" s="1"/>
  <c r="G5" s="1"/>
  <c r="E5"/>
  <c r="D5"/>
  <c r="D527" s="1"/>
  <c r="D540" s="1"/>
  <c r="E114" i="18"/>
  <c r="D114"/>
  <c r="G114" s="1"/>
  <c r="G113"/>
  <c r="G112"/>
  <c r="G111"/>
  <c r="G110"/>
  <c r="E109"/>
  <c r="G109" s="1"/>
  <c r="D109"/>
  <c r="G108"/>
  <c r="G107"/>
  <c r="E106"/>
  <c r="D106"/>
  <c r="G106" s="1"/>
  <c r="G104"/>
  <c r="G101"/>
  <c r="G100"/>
  <c r="G99"/>
  <c r="G95"/>
  <c r="G92"/>
  <c r="G89"/>
  <c r="D88"/>
  <c r="D115" s="1"/>
  <c r="G87"/>
  <c r="G86"/>
  <c r="G85"/>
  <c r="G84"/>
  <c r="J83"/>
  <c r="G83"/>
  <c r="E83"/>
  <c r="E88" s="1"/>
  <c r="G82"/>
  <c r="G81"/>
  <c r="G80"/>
  <c r="D78"/>
  <c r="J75"/>
  <c r="E75"/>
  <c r="J72"/>
  <c r="E72"/>
  <c r="J70"/>
  <c r="E70"/>
  <c r="J68"/>
  <c r="E68"/>
  <c r="E65" s="1"/>
  <c r="E67"/>
  <c r="E64"/>
  <c r="D64"/>
  <c r="D79" s="1"/>
  <c r="G63"/>
  <c r="D62"/>
  <c r="G61"/>
  <c r="G60"/>
  <c r="G59"/>
  <c r="G58"/>
  <c r="J57"/>
  <c r="G57"/>
  <c r="E57"/>
  <c r="E62" s="1"/>
  <c r="G62" s="1"/>
  <c r="G56"/>
  <c r="D54"/>
  <c r="G53"/>
  <c r="G52"/>
  <c r="J51"/>
  <c r="G51"/>
  <c r="E51"/>
  <c r="E54" s="1"/>
  <c r="G54" s="1"/>
  <c r="G50"/>
  <c r="D49"/>
  <c r="G48"/>
  <c r="G47"/>
  <c r="G46"/>
  <c r="G45"/>
  <c r="G44"/>
  <c r="G43"/>
  <c r="G42"/>
  <c r="G41"/>
  <c r="J40"/>
  <c r="E40"/>
  <c r="G40" s="1"/>
  <c r="G39"/>
  <c r="G38"/>
  <c r="E37"/>
  <c r="G37" s="1"/>
  <c r="D37"/>
  <c r="G36"/>
  <c r="J35"/>
  <c r="G35"/>
  <c r="E35"/>
  <c r="G34"/>
  <c r="G33"/>
  <c r="G32"/>
  <c r="G31"/>
  <c r="G30"/>
  <c r="J29"/>
  <c r="G29"/>
  <c r="E29"/>
  <c r="G28"/>
  <c r="D27"/>
  <c r="G26"/>
  <c r="G25"/>
  <c r="G24"/>
  <c r="G23"/>
  <c r="J22"/>
  <c r="E22"/>
  <c r="G22" s="1"/>
  <c r="G21"/>
  <c r="E20"/>
  <c r="D20"/>
  <c r="D55" s="1"/>
  <c r="G15"/>
  <c r="D14"/>
  <c r="D116" s="1"/>
  <c r="G13"/>
  <c r="J12"/>
  <c r="E12"/>
  <c r="G12" s="1"/>
  <c r="G11"/>
  <c r="G10"/>
  <c r="G9"/>
  <c r="G8"/>
  <c r="J7"/>
  <c r="G7"/>
  <c r="E7"/>
  <c r="E14" s="1"/>
  <c r="G6"/>
  <c r="G5"/>
  <c r="F116" l="1"/>
  <c r="E179" i="19"/>
  <c r="E527" s="1"/>
  <c r="E540" s="1"/>
  <c r="G14" i="18"/>
  <c r="E78"/>
  <c r="G65"/>
  <c r="E115"/>
  <c r="G115" s="1"/>
  <c r="G88"/>
  <c r="G20"/>
  <c r="E27"/>
  <c r="E49"/>
  <c r="G49" s="1"/>
  <c r="G64"/>
  <c r="E79" l="1"/>
  <c r="G79" s="1"/>
  <c r="G78"/>
  <c r="G27"/>
  <c r="E55"/>
  <c r="G55" l="1"/>
  <c r="E116"/>
  <c r="G116" s="1"/>
  <c r="E6" i="4" l="1"/>
  <c r="E5" s="1"/>
  <c r="J7"/>
  <c r="F7" s="1"/>
  <c r="J8"/>
  <c r="J9"/>
  <c r="J10"/>
  <c r="J11"/>
  <c r="J12"/>
  <c r="F12" s="1"/>
  <c r="G12" s="1"/>
  <c r="J13"/>
  <c r="J15"/>
  <c r="F14" s="1"/>
  <c r="G14" s="1"/>
  <c r="J16"/>
  <c r="J18"/>
  <c r="F18" s="1"/>
  <c r="G18" s="1"/>
  <c r="J19"/>
  <c r="J20"/>
  <c r="J21"/>
  <c r="J22"/>
  <c r="J23"/>
  <c r="J24"/>
  <c r="J25"/>
  <c r="J26"/>
  <c r="F26" s="1"/>
  <c r="G26" s="1"/>
  <c r="J28"/>
  <c r="F28" s="1"/>
  <c r="G28" s="1"/>
  <c r="J30"/>
  <c r="F29" s="1"/>
  <c r="G29" s="1"/>
  <c r="J32"/>
  <c r="F31" s="1"/>
  <c r="G31" s="1"/>
  <c r="J33"/>
  <c r="J34"/>
  <c r="J35"/>
  <c r="F35" s="1"/>
  <c r="G35" s="1"/>
  <c r="J36"/>
  <c r="J37"/>
  <c r="F37" s="1"/>
  <c r="G37" s="1"/>
  <c r="J38"/>
  <c r="F38" s="1"/>
  <c r="G38" s="1"/>
  <c r="F40"/>
  <c r="G40" s="1"/>
  <c r="F41"/>
  <c r="G41" s="1"/>
  <c r="F42"/>
  <c r="G42" s="1"/>
  <c r="F43"/>
  <c r="G43" s="1"/>
  <c r="G47"/>
  <c r="J48"/>
  <c r="F48" s="1"/>
  <c r="G48" s="1"/>
  <c r="J49"/>
  <c r="D50"/>
  <c r="E50"/>
  <c r="J51"/>
  <c r="F51" s="1"/>
  <c r="J52"/>
  <c r="J53"/>
  <c r="J54"/>
  <c r="J55"/>
  <c r="F55" s="1"/>
  <c r="G55" s="1"/>
  <c r="J56"/>
  <c r="J57"/>
  <c r="J58"/>
  <c r="J59"/>
  <c r="F59" s="1"/>
  <c r="G59" s="1"/>
  <c r="J60"/>
  <c r="J61"/>
  <c r="J62"/>
  <c r="J63"/>
  <c r="F63" s="1"/>
  <c r="G63" s="1"/>
  <c r="J64"/>
  <c r="J65"/>
  <c r="J66"/>
  <c r="J67"/>
  <c r="F67" s="1"/>
  <c r="G67" s="1"/>
  <c r="J68"/>
  <c r="F68" s="1"/>
  <c r="G68" s="1"/>
  <c r="J69"/>
  <c r="F69" s="1"/>
  <c r="G69" s="1"/>
  <c r="G70"/>
  <c r="G71"/>
  <c r="D72"/>
  <c r="E72"/>
  <c r="F73"/>
  <c r="F74"/>
  <c r="G74" s="1"/>
  <c r="F75"/>
  <c r="G75" s="1"/>
  <c r="F77"/>
  <c r="G77"/>
  <c r="J78"/>
  <c r="F78" s="1"/>
  <c r="G78" s="1"/>
  <c r="G79"/>
  <c r="G80"/>
  <c r="E82"/>
  <c r="J83"/>
  <c r="F83" s="1"/>
  <c r="J84"/>
  <c r="J85"/>
  <c r="J86"/>
  <c r="J87"/>
  <c r="J88"/>
  <c r="J89"/>
  <c r="J90"/>
  <c r="J91"/>
  <c r="F93"/>
  <c r="G93"/>
  <c r="J94"/>
  <c r="F94" s="1"/>
  <c r="G94" s="1"/>
  <c r="J95"/>
  <c r="F95" s="1"/>
  <c r="G95" s="1"/>
  <c r="J96"/>
  <c r="F96" s="1"/>
  <c r="G96" s="1"/>
  <c r="F97"/>
  <c r="G97" s="1"/>
  <c r="J98"/>
  <c r="F98" s="1"/>
  <c r="G98" s="1"/>
  <c r="F100"/>
  <c r="G100"/>
  <c r="F101"/>
  <c r="G101"/>
  <c r="J102"/>
  <c r="F102" s="1"/>
  <c r="G102" s="1"/>
  <c r="D103"/>
  <c r="E103"/>
  <c r="J104"/>
  <c r="F104" s="1"/>
  <c r="J105"/>
  <c r="J106"/>
  <c r="J107"/>
  <c r="F107" s="1"/>
  <c r="G107" s="1"/>
  <c r="J108"/>
  <c r="F108" s="1"/>
  <c r="G108" s="1"/>
  <c r="F109"/>
  <c r="G109"/>
  <c r="F110"/>
  <c r="G110"/>
  <c r="F111"/>
  <c r="G111"/>
  <c r="J112"/>
  <c r="F112" s="1"/>
  <c r="G112" s="1"/>
  <c r="F114"/>
  <c r="G114" s="1"/>
  <c r="J115"/>
  <c r="F115" s="1"/>
  <c r="G115" s="1"/>
  <c r="D116"/>
  <c r="E116"/>
  <c r="J117"/>
  <c r="F117" s="1"/>
  <c r="J118"/>
  <c r="J119"/>
  <c r="J120"/>
  <c r="F120" s="1"/>
  <c r="G120" s="1"/>
  <c r="J121"/>
  <c r="F121" s="1"/>
  <c r="G121" s="1"/>
  <c r="F122"/>
  <c r="G122" s="1"/>
  <c r="F123"/>
  <c r="G123" s="1"/>
  <c r="F124"/>
  <c r="G124" s="1"/>
  <c r="J125"/>
  <c r="F125" s="1"/>
  <c r="G125" s="1"/>
  <c r="F127"/>
  <c r="G127"/>
  <c r="J128"/>
  <c r="F128" s="1"/>
  <c r="G128" s="1"/>
  <c r="D129"/>
  <c r="E129"/>
  <c r="J130"/>
  <c r="F130" s="1"/>
  <c r="J131"/>
  <c r="J132"/>
  <c r="J133"/>
  <c r="J134"/>
  <c r="J135"/>
  <c r="J136"/>
  <c r="F136" s="1"/>
  <c r="G136" s="1"/>
  <c r="J137"/>
  <c r="F137" s="1"/>
  <c r="G137" s="1"/>
  <c r="F138"/>
  <c r="G138" s="1"/>
  <c r="F139"/>
  <c r="G139" s="1"/>
  <c r="F140"/>
  <c r="G140" s="1"/>
  <c r="J141"/>
  <c r="F141" s="1"/>
  <c r="G141" s="1"/>
  <c r="J142"/>
  <c r="J143"/>
  <c r="F143" s="1"/>
  <c r="G143" s="1"/>
  <c r="J144"/>
  <c r="F144" s="1"/>
  <c r="G144" s="1"/>
  <c r="D145"/>
  <c r="E145"/>
  <c r="J146"/>
  <c r="F146" s="1"/>
  <c r="J147"/>
  <c r="J148"/>
  <c r="J149"/>
  <c r="F149" s="1"/>
  <c r="G149" s="1"/>
  <c r="J150"/>
  <c r="F150" s="1"/>
  <c r="G150" s="1"/>
  <c r="F151"/>
  <c r="G151"/>
  <c r="F152"/>
  <c r="G152"/>
  <c r="F153"/>
  <c r="G153"/>
  <c r="J154"/>
  <c r="F154" s="1"/>
  <c r="G154" s="1"/>
  <c r="F156"/>
  <c r="G156" s="1"/>
  <c r="F157"/>
  <c r="G157" s="1"/>
  <c r="E158"/>
  <c r="E81" s="1"/>
  <c r="J161"/>
  <c r="F159" s="1"/>
  <c r="J162"/>
  <c r="J163"/>
  <c r="J164"/>
  <c r="J165"/>
  <c r="J166"/>
  <c r="F166" s="1"/>
  <c r="G166" s="1"/>
  <c r="J167"/>
  <c r="J168"/>
  <c r="J169"/>
  <c r="J172"/>
  <c r="F172" s="1"/>
  <c r="G172" s="1"/>
  <c r="J173"/>
  <c r="J174"/>
  <c r="J175"/>
  <c r="F175" s="1"/>
  <c r="G175" s="1"/>
  <c r="F176"/>
  <c r="G176" s="1"/>
  <c r="F177"/>
  <c r="G177" s="1"/>
  <c r="F178"/>
  <c r="G178" s="1"/>
  <c r="J179"/>
  <c r="F179" s="1"/>
  <c r="G179" s="1"/>
  <c r="J180"/>
  <c r="J181"/>
  <c r="F182"/>
  <c r="G182"/>
  <c r="F183"/>
  <c r="G183"/>
  <c r="F184"/>
  <c r="G184"/>
  <c r="J185"/>
  <c r="F185" s="1"/>
  <c r="G185" s="1"/>
  <c r="F186"/>
  <c r="G186" s="1"/>
  <c r="E187"/>
  <c r="J191"/>
  <c r="F188" s="1"/>
  <c r="J192"/>
  <c r="J193"/>
  <c r="J194"/>
  <c r="J195"/>
  <c r="J196"/>
  <c r="J197"/>
  <c r="F197" s="1"/>
  <c r="G197" s="1"/>
  <c r="J198"/>
  <c r="J199"/>
  <c r="J200"/>
  <c r="J203"/>
  <c r="F203" s="1"/>
  <c r="G203" s="1"/>
  <c r="J204"/>
  <c r="J205"/>
  <c r="J206"/>
  <c r="F206" s="1"/>
  <c r="G206" s="1"/>
  <c r="F207"/>
  <c r="G207"/>
  <c r="F208"/>
  <c r="G208"/>
  <c r="F209"/>
  <c r="G209"/>
  <c r="J210"/>
  <c r="F210" s="1"/>
  <c r="G210" s="1"/>
  <c r="J211"/>
  <c r="F213"/>
  <c r="G213"/>
  <c r="F214"/>
  <c r="G214"/>
  <c r="F215"/>
  <c r="G215"/>
  <c r="F216"/>
  <c r="G216"/>
  <c r="F217"/>
  <c r="G217"/>
  <c r="E218"/>
  <c r="J219"/>
  <c r="F219" s="1"/>
  <c r="J220"/>
  <c r="J221"/>
  <c r="J222"/>
  <c r="J224"/>
  <c r="F224" s="1"/>
  <c r="G224" s="1"/>
  <c r="J225"/>
  <c r="F225" s="1"/>
  <c r="G225" s="1"/>
  <c r="F226"/>
  <c r="G226" s="1"/>
  <c r="F227"/>
  <c r="G227" s="1"/>
  <c r="F228"/>
  <c r="G228" s="1"/>
  <c r="F229"/>
  <c r="G229" s="1"/>
  <c r="F230"/>
  <c r="G230" s="1"/>
  <c r="F231"/>
  <c r="G231" s="1"/>
  <c r="E232"/>
  <c r="J233"/>
  <c r="F233" s="1"/>
  <c r="J234"/>
  <c r="J235"/>
  <c r="J236"/>
  <c r="J237"/>
  <c r="J238"/>
  <c r="F238" s="1"/>
  <c r="G238" s="1"/>
  <c r="J239"/>
  <c r="J240"/>
  <c r="J241"/>
  <c r="J244"/>
  <c r="F244" s="1"/>
  <c r="G244" s="1"/>
  <c r="J245"/>
  <c r="J246"/>
  <c r="J247"/>
  <c r="F247" s="1"/>
  <c r="G247" s="1"/>
  <c r="F248"/>
  <c r="G248" s="1"/>
  <c r="F249"/>
  <c r="G249" s="1"/>
  <c r="F250"/>
  <c r="G250" s="1"/>
  <c r="J251"/>
  <c r="F251" s="1"/>
  <c r="G251" s="1"/>
  <c r="J252"/>
  <c r="F254"/>
  <c r="G254" s="1"/>
  <c r="F255"/>
  <c r="G255" s="1"/>
  <c r="F256"/>
  <c r="G256" s="1"/>
  <c r="F257"/>
  <c r="G257" s="1"/>
  <c r="F258"/>
  <c r="G258" s="1"/>
  <c r="E259"/>
  <c r="J260"/>
  <c r="F260" s="1"/>
  <c r="J261"/>
  <c r="J262"/>
  <c r="J263"/>
  <c r="J265"/>
  <c r="F265" s="1"/>
  <c r="G265" s="1"/>
  <c r="J266"/>
  <c r="F266" s="1"/>
  <c r="G266" s="1"/>
  <c r="F267"/>
  <c r="G267"/>
  <c r="F268"/>
  <c r="G268"/>
  <c r="F269"/>
  <c r="G269"/>
  <c r="F270"/>
  <c r="G270"/>
  <c r="F271"/>
  <c r="G271"/>
  <c r="F272"/>
  <c r="G272"/>
  <c r="E273"/>
  <c r="J274"/>
  <c r="F274" s="1"/>
  <c r="J275"/>
  <c r="J276"/>
  <c r="J277"/>
  <c r="J279"/>
  <c r="F279" s="1"/>
  <c r="G279" s="1"/>
  <c r="J280"/>
  <c r="J281"/>
  <c r="J282"/>
  <c r="J283"/>
  <c r="J284"/>
  <c r="J285"/>
  <c r="F287"/>
  <c r="G287"/>
  <c r="J288"/>
  <c r="F288" s="1"/>
  <c r="G288" s="1"/>
  <c r="J289"/>
  <c r="J290"/>
  <c r="F290" s="1"/>
  <c r="G290" s="1"/>
  <c r="F292"/>
  <c r="G292" s="1"/>
  <c r="F293"/>
  <c r="G293" s="1"/>
  <c r="F294"/>
  <c r="G294" s="1"/>
  <c r="F295"/>
  <c r="G295" s="1"/>
  <c r="J296"/>
  <c r="F296" s="1"/>
  <c r="G296" s="1"/>
  <c r="J299"/>
  <c r="F297" s="1"/>
  <c r="G297" s="1"/>
  <c r="F301"/>
  <c r="G301" s="1"/>
  <c r="J303"/>
  <c r="F303" s="1"/>
  <c r="J304"/>
  <c r="J305"/>
  <c r="J306"/>
  <c r="J307"/>
  <c r="F307" s="1"/>
  <c r="G307" s="1"/>
  <c r="J308"/>
  <c r="J309"/>
  <c r="J310"/>
  <c r="J312"/>
  <c r="J313"/>
  <c r="F316"/>
  <c r="G316" s="1"/>
  <c r="J317"/>
  <c r="F317" s="1"/>
  <c r="G317" s="1"/>
  <c r="J318"/>
  <c r="J319"/>
  <c r="J322"/>
  <c r="F322" s="1"/>
  <c r="G322" s="1"/>
  <c r="F323"/>
  <c r="G323" s="1"/>
  <c r="F324"/>
  <c r="G324" s="1"/>
  <c r="F325"/>
  <c r="G325" s="1"/>
  <c r="J326"/>
  <c r="F326" s="1"/>
  <c r="G326" s="1"/>
  <c r="F328"/>
  <c r="G328"/>
  <c r="F331"/>
  <c r="G331"/>
  <c r="F332"/>
  <c r="G332"/>
  <c r="E333"/>
  <c r="F334"/>
  <c r="F333" s="1"/>
  <c r="F335"/>
  <c r="G335" s="1"/>
  <c r="F336"/>
  <c r="G336" s="1"/>
  <c r="F337"/>
  <c r="G337" s="1"/>
  <c r="F338"/>
  <c r="G338" s="1"/>
  <c r="F339"/>
  <c r="G339" s="1"/>
  <c r="F340"/>
  <c r="G340" s="1"/>
  <c r="F341"/>
  <c r="G341" s="1"/>
  <c r="F342"/>
  <c r="G342" s="1"/>
  <c r="F343"/>
  <c r="G343" s="1"/>
  <c r="F344"/>
  <c r="G344" s="1"/>
  <c r="D345"/>
  <c r="E345"/>
  <c r="F346"/>
  <c r="G346"/>
  <c r="J347"/>
  <c r="F347" s="1"/>
  <c r="G347" s="1"/>
  <c r="J350"/>
  <c r="F350" s="1"/>
  <c r="G350" s="1"/>
  <c r="J351"/>
  <c r="J352"/>
  <c r="F352" s="1"/>
  <c r="G352" s="1"/>
  <c r="J353"/>
  <c r="J354"/>
  <c r="J355"/>
  <c r="F355" s="1"/>
  <c r="G355" s="1"/>
  <c r="J357"/>
  <c r="F357" s="1"/>
  <c r="G357" s="1"/>
  <c r="J359"/>
  <c r="E362"/>
  <c r="E361" s="1"/>
  <c r="J363"/>
  <c r="F363" s="1"/>
  <c r="J364"/>
  <c r="F364" s="1"/>
  <c r="G364" s="1"/>
  <c r="E365"/>
  <c r="J366"/>
  <c r="F366" s="1"/>
  <c r="J368"/>
  <c r="J369"/>
  <c r="E371"/>
  <c r="F372"/>
  <c r="F371" s="1"/>
  <c r="F373"/>
  <c r="G373" s="1"/>
  <c r="E375"/>
  <c r="J376"/>
  <c r="F376" s="1"/>
  <c r="J377"/>
  <c r="J378"/>
  <c r="J379"/>
  <c r="F380"/>
  <c r="G380" s="1"/>
  <c r="F382"/>
  <c r="G382" s="1"/>
  <c r="J383"/>
  <c r="F383" s="1"/>
  <c r="G383" s="1"/>
  <c r="J384"/>
  <c r="J385"/>
  <c r="J386"/>
  <c r="J387"/>
  <c r="F390"/>
  <c r="G390"/>
  <c r="F391"/>
  <c r="G391"/>
  <c r="G393"/>
  <c r="D394"/>
  <c r="E394"/>
  <c r="J395"/>
  <c r="F395" s="1"/>
  <c r="J396"/>
  <c r="J397"/>
  <c r="J398"/>
  <c r="F398" s="1"/>
  <c r="G398" s="1"/>
  <c r="F399"/>
  <c r="G399" s="1"/>
  <c r="F400"/>
  <c r="G400" s="1"/>
  <c r="J401"/>
  <c r="F401" s="1"/>
  <c r="G401" s="1"/>
  <c r="J402"/>
  <c r="F402" s="1"/>
  <c r="G402" s="1"/>
  <c r="F403"/>
  <c r="G403" s="1"/>
  <c r="E404"/>
  <c r="J405"/>
  <c r="F405" s="1"/>
  <c r="J406"/>
  <c r="J407"/>
  <c r="D408"/>
  <c r="J408"/>
  <c r="F408" s="1"/>
  <c r="G408" s="1"/>
  <c r="F409"/>
  <c r="G409" s="1"/>
  <c r="F410"/>
  <c r="G410" s="1"/>
  <c r="J411"/>
  <c r="F411" s="1"/>
  <c r="G411" s="1"/>
  <c r="J412"/>
  <c r="F412" s="1"/>
  <c r="G412" s="1"/>
  <c r="F413"/>
  <c r="G413" s="1"/>
  <c r="E414"/>
  <c r="J415"/>
  <c r="F415" s="1"/>
  <c r="J416"/>
  <c r="J417"/>
  <c r="J418"/>
  <c r="F418" s="1"/>
  <c r="G418" s="1"/>
  <c r="F419"/>
  <c r="G419"/>
  <c r="F420"/>
  <c r="G420"/>
  <c r="J421"/>
  <c r="F421" s="1"/>
  <c r="G421" s="1"/>
  <c r="J422"/>
  <c r="J423"/>
  <c r="F423" s="1"/>
  <c r="G423" s="1"/>
  <c r="F424"/>
  <c r="G424" s="1"/>
  <c r="E425"/>
  <c r="J426"/>
  <c r="F426" s="1"/>
  <c r="J427"/>
  <c r="J428"/>
  <c r="D429"/>
  <c r="J429"/>
  <c r="F429" s="1"/>
  <c r="G429" s="1"/>
  <c r="F430"/>
  <c r="G430" s="1"/>
  <c r="F431"/>
  <c r="G431" s="1"/>
  <c r="J432"/>
  <c r="F432" s="1"/>
  <c r="G432" s="1"/>
  <c r="J433"/>
  <c r="F433" s="1"/>
  <c r="G433" s="1"/>
  <c r="F434"/>
  <c r="G434" s="1"/>
  <c r="F435"/>
  <c r="G435" s="1"/>
  <c r="E436"/>
  <c r="J439"/>
  <c r="F437" s="1"/>
  <c r="D440"/>
  <c r="F441"/>
  <c r="F440" s="1"/>
  <c r="J447"/>
  <c r="F447" s="1"/>
  <c r="J448"/>
  <c r="J449"/>
  <c r="F449" s="1"/>
  <c r="G449" s="1"/>
  <c r="J450"/>
  <c r="J451"/>
  <c r="J452"/>
  <c r="J453"/>
  <c r="J454"/>
  <c r="J455"/>
  <c r="J456"/>
  <c r="J457"/>
  <c r="J458"/>
  <c r="J459"/>
  <c r="J460"/>
  <c r="J461"/>
  <c r="J462"/>
  <c r="E463"/>
  <c r="E446" s="1"/>
  <c r="F463"/>
  <c r="G463"/>
  <c r="F465"/>
  <c r="G465"/>
  <c r="F466"/>
  <c r="G466"/>
  <c r="E467"/>
  <c r="J468"/>
  <c r="F468" s="1"/>
  <c r="J469"/>
  <c r="F469" s="1"/>
  <c r="G469" s="1"/>
  <c r="J470"/>
  <c r="J471"/>
  <c r="J472"/>
  <c r="J473"/>
  <c r="F473" s="1"/>
  <c r="G473" s="1"/>
  <c r="F475"/>
  <c r="G475" s="1"/>
  <c r="E476"/>
  <c r="J477"/>
  <c r="F477" s="1"/>
  <c r="J478"/>
  <c r="J479"/>
  <c r="F479" s="1"/>
  <c r="G479" s="1"/>
  <c r="J480"/>
  <c r="J481"/>
  <c r="J482"/>
  <c r="J483"/>
  <c r="J484"/>
  <c r="J485"/>
  <c r="J486"/>
  <c r="J487"/>
  <c r="J488"/>
  <c r="J489"/>
  <c r="J490"/>
  <c r="J491"/>
  <c r="F491" s="1"/>
  <c r="G491" s="1"/>
  <c r="J492"/>
  <c r="F493"/>
  <c r="G493"/>
  <c r="E494"/>
  <c r="J495"/>
  <c r="F495" s="1"/>
  <c r="J496"/>
  <c r="F496" s="1"/>
  <c r="G496" s="1"/>
  <c r="J497"/>
  <c r="J498"/>
  <c r="J499"/>
  <c r="J500"/>
  <c r="J501"/>
  <c r="J502"/>
  <c r="J503"/>
  <c r="J504"/>
  <c r="J505"/>
  <c r="J506"/>
  <c r="J507"/>
  <c r="F507" s="1"/>
  <c r="G507" s="1"/>
  <c r="J508"/>
  <c r="J509"/>
  <c r="F509" s="1"/>
  <c r="G509" s="1"/>
  <c r="E510"/>
  <c r="F510"/>
  <c r="G510" s="1"/>
  <c r="G511"/>
  <c r="G512"/>
  <c r="G513"/>
  <c r="D514"/>
  <c r="E514"/>
  <c r="F514"/>
  <c r="G514"/>
  <c r="G515"/>
  <c r="G516"/>
  <c r="G517"/>
  <c r="G518"/>
  <c r="D519"/>
  <c r="J520"/>
  <c r="F520" s="1"/>
  <c r="J521"/>
  <c r="F521" s="1"/>
  <c r="G521" s="1"/>
  <c r="J522"/>
  <c r="J523"/>
  <c r="J524"/>
  <c r="F525"/>
  <c r="G525"/>
  <c r="F526"/>
  <c r="G526"/>
  <c r="E527"/>
  <c r="J528"/>
  <c r="F528" s="1"/>
  <c r="J529"/>
  <c r="F529" s="1"/>
  <c r="G529" s="1"/>
  <c r="J530"/>
  <c r="J531"/>
  <c r="J532"/>
  <c r="J533"/>
  <c r="G534"/>
  <c r="F535"/>
  <c r="G535"/>
  <c r="E536"/>
  <c r="J537"/>
  <c r="F537" s="1"/>
  <c r="J538"/>
  <c r="F538" s="1"/>
  <c r="G538" s="1"/>
  <c r="J539"/>
  <c r="J540"/>
  <c r="J541"/>
  <c r="F542"/>
  <c r="G542" s="1"/>
  <c r="F544"/>
  <c r="G544" s="1"/>
  <c r="E545"/>
  <c r="J546"/>
  <c r="F546" s="1"/>
  <c r="J547"/>
  <c r="F547" s="1"/>
  <c r="G547" s="1"/>
  <c r="J548"/>
  <c r="J549"/>
  <c r="J550"/>
  <c r="J551"/>
  <c r="J552"/>
  <c r="J553"/>
  <c r="F554"/>
  <c r="G554"/>
  <c r="F556"/>
  <c r="G556"/>
  <c r="E557"/>
  <c r="J558"/>
  <c r="F558" s="1"/>
  <c r="J559"/>
  <c r="F559" s="1"/>
  <c r="G559" s="1"/>
  <c r="J560"/>
  <c r="J561"/>
  <c r="F561" s="1"/>
  <c r="G561" s="1"/>
  <c r="F563"/>
  <c r="G563" s="1"/>
  <c r="E564"/>
  <c r="J565"/>
  <c r="F565" s="1"/>
  <c r="J566"/>
  <c r="F566" s="1"/>
  <c r="G566" s="1"/>
  <c r="J567"/>
  <c r="J568"/>
  <c r="J569"/>
  <c r="J570"/>
  <c r="F571"/>
  <c r="G571"/>
  <c r="J573"/>
  <c r="F573" s="1"/>
  <c r="G573" s="1"/>
  <c r="D574"/>
  <c r="E574"/>
  <c r="F575"/>
  <c r="J575"/>
  <c r="J576"/>
  <c r="J577"/>
  <c r="J578"/>
  <c r="J579"/>
  <c r="J580"/>
  <c r="F581"/>
  <c r="G581" s="1"/>
  <c r="F583"/>
  <c r="G583" s="1"/>
  <c r="D584"/>
  <c r="E584"/>
  <c r="J585"/>
  <c r="F585" s="1"/>
  <c r="J586"/>
  <c r="F586" s="1"/>
  <c r="G586" s="1"/>
  <c r="J587"/>
  <c r="F588"/>
  <c r="G588"/>
  <c r="F589"/>
  <c r="G589"/>
  <c r="D590"/>
  <c r="E590"/>
  <c r="F591"/>
  <c r="F590" s="1"/>
  <c r="G591"/>
  <c r="G590" s="1"/>
  <c r="F593"/>
  <c r="G593"/>
  <c r="F596"/>
  <c r="G596"/>
  <c r="F597"/>
  <c r="G597"/>
  <c r="F598"/>
  <c r="G598"/>
  <c r="F600"/>
  <c r="G600"/>
  <c r="E601"/>
  <c r="J602"/>
  <c r="F602" s="1"/>
  <c r="J603"/>
  <c r="F603" s="1"/>
  <c r="G603" s="1"/>
  <c r="J604"/>
  <c r="F605"/>
  <c r="G605"/>
  <c r="F606"/>
  <c r="G606"/>
  <c r="E607"/>
  <c r="F608"/>
  <c r="G608" s="1"/>
  <c r="F609"/>
  <c r="G609" s="1"/>
  <c r="E610"/>
  <c r="F611"/>
  <c r="F610" s="1"/>
  <c r="G611"/>
  <c r="G610" s="1"/>
  <c r="F612"/>
  <c r="G612"/>
  <c r="F613"/>
  <c r="G613"/>
  <c r="F614"/>
  <c r="G614"/>
  <c r="E615"/>
  <c r="F615"/>
  <c r="G615" s="1"/>
  <c r="G616"/>
  <c r="G617"/>
  <c r="G618"/>
  <c r="G619"/>
  <c r="G620"/>
  <c r="G621"/>
  <c r="G622"/>
  <c r="G623"/>
  <c r="G624"/>
  <c r="G625"/>
  <c r="E626"/>
  <c r="F626"/>
  <c r="G626"/>
  <c r="G627"/>
  <c r="G628"/>
  <c r="G629"/>
  <c r="E630"/>
  <c r="G630"/>
  <c r="G631"/>
  <c r="E632"/>
  <c r="G632"/>
  <c r="G633"/>
  <c r="G634"/>
  <c r="E635"/>
  <c r="G635"/>
  <c r="G636"/>
  <c r="G637"/>
  <c r="G638"/>
  <c r="G639"/>
  <c r="G640"/>
  <c r="G641"/>
  <c r="D642"/>
  <c r="E642"/>
  <c r="F643"/>
  <c r="G643"/>
  <c r="G642" s="1"/>
  <c r="J644"/>
  <c r="F644" s="1"/>
  <c r="G644" s="1"/>
  <c r="D645"/>
  <c r="E645"/>
  <c r="F646"/>
  <c r="G646" s="1"/>
  <c r="G645" s="1"/>
  <c r="J647"/>
  <c r="F647" s="1"/>
  <c r="G647" s="1"/>
  <c r="E649"/>
  <c r="E648" s="1"/>
  <c r="J650"/>
  <c r="F650" s="1"/>
  <c r="J651"/>
  <c r="J653"/>
  <c r="F653" s="1"/>
  <c r="G653" s="1"/>
  <c r="J654"/>
  <c r="J656"/>
  <c r="F656" s="1"/>
  <c r="G656" s="1"/>
  <c r="J657"/>
  <c r="J658"/>
  <c r="J659"/>
  <c r="J660"/>
  <c r="J661"/>
  <c r="J662"/>
  <c r="J663"/>
  <c r="J664"/>
  <c r="J665"/>
  <c r="F665" s="1"/>
  <c r="G665" s="1"/>
  <c r="J666"/>
  <c r="J667"/>
  <c r="J669"/>
  <c r="J670"/>
  <c r="J672"/>
  <c r="F675"/>
  <c r="G675" s="1"/>
  <c r="J678"/>
  <c r="F679"/>
  <c r="G679"/>
  <c r="J683"/>
  <c r="F683" s="1"/>
  <c r="G683" s="1"/>
  <c r="J684"/>
  <c r="J685"/>
  <c r="J686"/>
  <c r="J687"/>
  <c r="F691"/>
  <c r="G691" s="1"/>
  <c r="F693"/>
  <c r="G693" s="1"/>
  <c r="F694"/>
  <c r="G694" s="1"/>
  <c r="F695"/>
  <c r="G695" s="1"/>
  <c r="F696"/>
  <c r="G696" s="1"/>
  <c r="D697"/>
  <c r="J698"/>
  <c r="F698" s="1"/>
  <c r="F699"/>
  <c r="G699" s="1"/>
  <c r="F700"/>
  <c r="G700" s="1"/>
  <c r="F702"/>
  <c r="G702" s="1"/>
  <c r="F703"/>
  <c r="G703" s="1"/>
  <c r="F705"/>
  <c r="F704" s="1"/>
  <c r="F706"/>
  <c r="G706"/>
  <c r="F707"/>
  <c r="G707"/>
  <c r="F709"/>
  <c r="F708" s="1"/>
  <c r="G708" s="1"/>
  <c r="G709"/>
  <c r="J711"/>
  <c r="F711" s="1"/>
  <c r="G711" s="1"/>
  <c r="F697" l="1"/>
  <c r="G698"/>
  <c r="G697" s="1"/>
  <c r="F649"/>
  <c r="G650"/>
  <c r="G602"/>
  <c r="F601"/>
  <c r="G601" s="1"/>
  <c r="G585"/>
  <c r="G584" s="1"/>
  <c r="F584"/>
  <c r="F642"/>
  <c r="G575"/>
  <c r="G546"/>
  <c r="F545"/>
  <c r="G545" s="1"/>
  <c r="G537"/>
  <c r="F536"/>
  <c r="G536" s="1"/>
  <c r="G528"/>
  <c r="F527"/>
  <c r="G527" s="1"/>
  <c r="G520"/>
  <c r="G519" s="1"/>
  <c r="F519"/>
  <c r="F476"/>
  <c r="G477"/>
  <c r="G476" s="1"/>
  <c r="G468"/>
  <c r="F467"/>
  <c r="G467" s="1"/>
  <c r="G447"/>
  <c r="F446"/>
  <c r="G415"/>
  <c r="G414" s="1"/>
  <c r="F414"/>
  <c r="F365"/>
  <c r="G366"/>
  <c r="G365" s="1"/>
  <c r="F302"/>
  <c r="G303"/>
  <c r="G302" s="1"/>
  <c r="G260"/>
  <c r="F259"/>
  <c r="G259" s="1"/>
  <c r="G233"/>
  <c r="F232"/>
  <c r="G232" s="1"/>
  <c r="G188"/>
  <c r="F187"/>
  <c r="G187" s="1"/>
  <c r="G159"/>
  <c r="F158"/>
  <c r="G158" s="1"/>
  <c r="F129"/>
  <c r="G130"/>
  <c r="G129" s="1"/>
  <c r="G117"/>
  <c r="G116" s="1"/>
  <c r="F116"/>
  <c r="F103"/>
  <c r="G104"/>
  <c r="G103" s="1"/>
  <c r="F645"/>
  <c r="F607"/>
  <c r="G607" s="1"/>
  <c r="E445"/>
  <c r="E444" s="1"/>
  <c r="E440" s="1"/>
  <c r="E374"/>
  <c r="G345"/>
  <c r="G565"/>
  <c r="F564"/>
  <c r="G564" s="1"/>
  <c r="F557"/>
  <c r="G557" s="1"/>
  <c r="G558"/>
  <c r="G495"/>
  <c r="G494" s="1"/>
  <c r="F494"/>
  <c r="G437"/>
  <c r="F436"/>
  <c r="G436" s="1"/>
  <c r="G426"/>
  <c r="G425" s="1"/>
  <c r="F425"/>
  <c r="G405"/>
  <c r="F404"/>
  <c r="G404" s="1"/>
  <c r="F394"/>
  <c r="G395"/>
  <c r="G394" s="1"/>
  <c r="F375"/>
  <c r="G376"/>
  <c r="G375" s="1"/>
  <c r="G374" s="1"/>
  <c r="G363"/>
  <c r="F362"/>
  <c r="F273"/>
  <c r="G274"/>
  <c r="G273" s="1"/>
  <c r="F218"/>
  <c r="G218" s="1"/>
  <c r="G219"/>
  <c r="F145"/>
  <c r="G146"/>
  <c r="G145" s="1"/>
  <c r="F82"/>
  <c r="G83"/>
  <c r="G51"/>
  <c r="G50" s="1"/>
  <c r="F50"/>
  <c r="J76" s="1"/>
  <c r="F76" s="1"/>
  <c r="G76" s="1"/>
  <c r="G7"/>
  <c r="G6" s="1"/>
  <c r="F6"/>
  <c r="F576"/>
  <c r="G576" s="1"/>
  <c r="F345"/>
  <c r="G441"/>
  <c r="G440" s="1"/>
  <c r="G372"/>
  <c r="G371" s="1"/>
  <c r="G334"/>
  <c r="G333" s="1"/>
  <c r="G73"/>
  <c r="G72" s="1"/>
  <c r="G704"/>
  <c r="G705"/>
  <c r="F81" l="1"/>
  <c r="G82"/>
  <c r="G81" s="1"/>
  <c r="F374"/>
  <c r="F574"/>
  <c r="E712"/>
  <c r="F361"/>
  <c r="G362"/>
  <c r="G361" s="1"/>
  <c r="F445"/>
  <c r="G446"/>
  <c r="F648"/>
  <c r="G649"/>
  <c r="G648" s="1"/>
  <c r="F5"/>
  <c r="G5" s="1"/>
  <c r="F72"/>
  <c r="G574"/>
  <c r="G712" l="1"/>
  <c r="G445"/>
  <c r="F712"/>
</calcChain>
</file>

<file path=xl/sharedStrings.xml><?xml version="1.0" encoding="utf-8"?>
<sst xmlns="http://schemas.openxmlformats.org/spreadsheetml/2006/main" count="3079" uniqueCount="1148">
  <si>
    <t>지  출  의  부</t>
    <phoneticPr fontId="2" type="noConversion"/>
  </si>
  <si>
    <t>과목</t>
    <phoneticPr fontId="2" type="noConversion"/>
  </si>
  <si>
    <t>증감</t>
    <phoneticPr fontId="2" type="noConversion"/>
  </si>
  <si>
    <t>내역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</si>
  <si>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</si>
  <si>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</si>
  <si>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</si>
  <si>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운영비</t>
    <phoneticPr fontId="2" type="noConversion"/>
  </si>
  <si>
    <t>경상비</t>
    <phoneticPr fontId="2" type="noConversion"/>
  </si>
  <si>
    <t>소모품비</t>
    <phoneticPr fontId="2" type="noConversion"/>
  </si>
  <si>
    <t>ㅇ사무용품비</t>
    <phoneticPr fontId="2" type="noConversion"/>
  </si>
  <si>
    <t>ㅇ음료재료비</t>
    <phoneticPr fontId="2" type="noConversion"/>
  </si>
  <si>
    <t>ㅇ복사용지구입</t>
    <phoneticPr fontId="2" type="noConversion"/>
  </si>
  <si>
    <t>통신비</t>
    <phoneticPr fontId="2" type="noConversion"/>
  </si>
  <si>
    <t>ㅇ전화요금</t>
    <phoneticPr fontId="2" type="noConversion"/>
  </si>
  <si>
    <t>ㅇ우편요금</t>
    <phoneticPr fontId="2" type="noConversion"/>
  </si>
  <si>
    <t>인쇄비</t>
    <phoneticPr fontId="2" type="noConversion"/>
  </si>
  <si>
    <t>ㅇ총회준비 인쇄비</t>
    <phoneticPr fontId="2" type="noConversion"/>
  </si>
  <si>
    <t>ㅇ명함,고무인,기타</t>
    <phoneticPr fontId="2" type="noConversion"/>
  </si>
  <si>
    <t>수수료 및</t>
    <phoneticPr fontId="2" type="noConversion"/>
  </si>
  <si>
    <t>ㅇ은행수수료</t>
    <phoneticPr fontId="2" type="noConversion"/>
  </si>
  <si>
    <t>수선비</t>
    <phoneticPr fontId="2" type="noConversion"/>
  </si>
  <si>
    <t>ㅇIF.AU 연도회비</t>
    <phoneticPr fontId="2" type="noConversion"/>
  </si>
  <si>
    <t>ㅇ사무국 연합회비</t>
    <phoneticPr fontId="2" type="noConversion"/>
  </si>
  <si>
    <t>ㅇ주민세 정기분</t>
    <phoneticPr fontId="2" type="noConversion"/>
  </si>
  <si>
    <t>ㅇ기금관리자 보증보험료</t>
    <phoneticPr fontId="2" type="noConversion"/>
  </si>
  <si>
    <t>ㅇ청소비</t>
    <phoneticPr fontId="2" type="noConversion"/>
  </si>
  <si>
    <t>ㅇ기타수수료.수선비</t>
    <phoneticPr fontId="2" type="noConversion"/>
  </si>
  <si>
    <t>도서비</t>
    <phoneticPr fontId="2" type="noConversion"/>
  </si>
  <si>
    <t>ㅇ신문구독료</t>
    <phoneticPr fontId="2" type="noConversion"/>
  </si>
  <si>
    <t>ㅇ일반도서구입비</t>
    <phoneticPr fontId="2" type="noConversion"/>
  </si>
  <si>
    <t>출장비</t>
    <phoneticPr fontId="2" type="noConversion"/>
  </si>
  <si>
    <t>경조비</t>
    <phoneticPr fontId="2" type="noConversion"/>
  </si>
  <si>
    <t>ㅇ경조금</t>
    <phoneticPr fontId="2" type="noConversion"/>
  </si>
  <si>
    <t>ㅇ경조화환</t>
    <phoneticPr fontId="2" type="noConversion"/>
  </si>
  <si>
    <t>시설비</t>
    <phoneticPr fontId="2" type="noConversion"/>
  </si>
  <si>
    <t>업무추진비</t>
    <phoneticPr fontId="2" type="noConversion"/>
  </si>
  <si>
    <t>홍보비</t>
    <phoneticPr fontId="2" type="noConversion"/>
  </si>
  <si>
    <t>ㅇ홍보비</t>
    <phoneticPr fontId="2" type="noConversion"/>
  </si>
  <si>
    <t>표창비</t>
    <phoneticPr fontId="2" type="noConversion"/>
  </si>
  <si>
    <t>ㅇ우수지도자 격려금</t>
    <phoneticPr fontId="2" type="noConversion"/>
  </si>
  <si>
    <t>ㅇ표창패 제작비</t>
    <phoneticPr fontId="2" type="noConversion"/>
  </si>
  <si>
    <t>환영비</t>
    <phoneticPr fontId="2" type="noConversion"/>
  </si>
  <si>
    <t xml:space="preserve">ㅇ선수단 환송.영비 </t>
    <phoneticPr fontId="2" type="noConversion"/>
  </si>
  <si>
    <t>행사비</t>
    <phoneticPr fontId="2" type="noConversion"/>
  </si>
  <si>
    <t>섭외비</t>
    <phoneticPr fontId="2" type="noConversion"/>
  </si>
  <si>
    <t>회의비</t>
    <phoneticPr fontId="2" type="noConversion"/>
  </si>
  <si>
    <t>ㅇ이사회의비</t>
    <phoneticPr fontId="2" type="noConversion"/>
  </si>
  <si>
    <t>ㅇ상무이사회의비</t>
    <phoneticPr fontId="2" type="noConversion"/>
  </si>
  <si>
    <t>ㅇ위원회 활동비</t>
    <phoneticPr fontId="2" type="noConversion"/>
  </si>
  <si>
    <t>ㅇ정기대의원총회</t>
    <phoneticPr fontId="2" type="noConversion"/>
  </si>
  <si>
    <t>국내대회비</t>
    <phoneticPr fontId="2" type="noConversion"/>
  </si>
  <si>
    <t>국가대표</t>
    <phoneticPr fontId="2" type="noConversion"/>
  </si>
  <si>
    <t>선발전</t>
    <phoneticPr fontId="2" type="noConversion"/>
  </si>
  <si>
    <t>체육관사용료</t>
    <phoneticPr fontId="2" type="noConversion"/>
  </si>
  <si>
    <t>경기비</t>
    <phoneticPr fontId="2" type="noConversion"/>
  </si>
  <si>
    <t>ㅇ심판왕복여비</t>
    <phoneticPr fontId="2" type="noConversion"/>
  </si>
  <si>
    <t>ㅇ심판숙박비</t>
    <phoneticPr fontId="2" type="noConversion"/>
  </si>
  <si>
    <t>숙박비</t>
    <phoneticPr fontId="2" type="noConversion"/>
  </si>
  <si>
    <t>ㅇ임원숙박비</t>
    <phoneticPr fontId="2" type="noConversion"/>
  </si>
  <si>
    <t>ㅇ섭외식대</t>
    <phoneticPr fontId="2" type="noConversion"/>
  </si>
  <si>
    <t>여비및활동비</t>
    <phoneticPr fontId="2" type="noConversion"/>
  </si>
  <si>
    <t>ㅇ여비및활동비</t>
    <phoneticPr fontId="2" type="noConversion"/>
  </si>
  <si>
    <t>급식비</t>
    <phoneticPr fontId="2" type="noConversion"/>
  </si>
  <si>
    <t>ㅇ임원급식비</t>
    <phoneticPr fontId="2" type="noConversion"/>
  </si>
  <si>
    <t>선전비</t>
    <phoneticPr fontId="2" type="noConversion"/>
  </si>
  <si>
    <t>ㅇ현수막제작비</t>
    <phoneticPr fontId="2" type="noConversion"/>
  </si>
  <si>
    <t>예비비</t>
  </si>
  <si>
    <t>ㅇ예비비</t>
  </si>
  <si>
    <t>ㅇ숙박비</t>
    <phoneticPr fontId="2" type="noConversion"/>
  </si>
  <si>
    <t>대통령기</t>
    <phoneticPr fontId="2" type="noConversion"/>
  </si>
  <si>
    <t>시상비</t>
    <phoneticPr fontId="2" type="noConversion"/>
  </si>
  <si>
    <t xml:space="preserve">ㅇ종합시상금        </t>
    <phoneticPr fontId="2" type="noConversion"/>
  </si>
  <si>
    <t>(1위 - 3,000,000, 2위-2,000,0000, 3위-1,000,000)</t>
    <phoneticPr fontId="2" type="noConversion"/>
  </si>
  <si>
    <t>ㅇ종목별시상금</t>
    <phoneticPr fontId="2" type="noConversion"/>
  </si>
  <si>
    <t>ㅇ종합시상컵</t>
    <phoneticPr fontId="2" type="noConversion"/>
  </si>
  <si>
    <t>ㅇ종별시상컵</t>
    <phoneticPr fontId="2" type="noConversion"/>
  </si>
  <si>
    <t>ㅇ심판수당</t>
    <phoneticPr fontId="2" type="noConversion"/>
  </si>
  <si>
    <t>ㅇ심판식대</t>
    <phoneticPr fontId="2" type="noConversion"/>
  </si>
  <si>
    <t>ㅇ초청장 및 상장.케이스</t>
    <phoneticPr fontId="2" type="noConversion"/>
  </si>
  <si>
    <t>ㅇ임원식대</t>
    <phoneticPr fontId="2" type="noConversion"/>
  </si>
  <si>
    <t>ㅇ임원여비 및 활동비</t>
    <phoneticPr fontId="2" type="noConversion"/>
  </si>
  <si>
    <t>대회운영비보조</t>
    <phoneticPr fontId="2" type="noConversion"/>
  </si>
  <si>
    <t>ㅇ대회운영비보조</t>
    <phoneticPr fontId="2" type="noConversion"/>
  </si>
  <si>
    <t>보조비</t>
    <phoneticPr fontId="2" type="noConversion"/>
  </si>
  <si>
    <t>예비비</t>
    <phoneticPr fontId="2" type="noConversion"/>
  </si>
  <si>
    <t>ㅇ예비비</t>
    <phoneticPr fontId="2" type="noConversion"/>
  </si>
  <si>
    <t>소년체전</t>
    <phoneticPr fontId="2" type="noConversion"/>
  </si>
  <si>
    <t>ㅇ프로그램 인쇄비</t>
    <phoneticPr fontId="2" type="noConversion"/>
  </si>
  <si>
    <t>ㅇ운영비</t>
    <phoneticPr fontId="2" type="noConversion"/>
  </si>
  <si>
    <t>전국종별</t>
    <phoneticPr fontId="2" type="noConversion"/>
  </si>
  <si>
    <t>ㅇ시상컵 제작</t>
  </si>
  <si>
    <t>ㅇ개인종목 시상메달</t>
    <phoneticPr fontId="2" type="noConversion"/>
  </si>
  <si>
    <t>ㅇ대진추첨비(장소임대.식대)</t>
    <phoneticPr fontId="2" type="noConversion"/>
  </si>
  <si>
    <t>ㅇ프로그램 제작비</t>
    <phoneticPr fontId="2" type="noConversion"/>
  </si>
  <si>
    <t>ㅇ중계방송비</t>
    <phoneticPr fontId="2" type="noConversion"/>
  </si>
  <si>
    <t>문광부</t>
    <phoneticPr fontId="2" type="noConversion"/>
  </si>
  <si>
    <t xml:space="preserve">ㅇ시상컵제작 </t>
    <phoneticPr fontId="2" type="noConversion"/>
  </si>
  <si>
    <t>학생종별</t>
    <phoneticPr fontId="2" type="noConversion"/>
  </si>
  <si>
    <t>전국체전</t>
    <phoneticPr fontId="2" type="noConversion"/>
  </si>
  <si>
    <t>ㅇ임원숙소</t>
    <phoneticPr fontId="2" type="noConversion"/>
  </si>
  <si>
    <t>ㅇ개최시도 지원금</t>
    <phoneticPr fontId="2" type="noConversion"/>
  </si>
  <si>
    <t>종합선수권</t>
    <phoneticPr fontId="2" type="noConversion"/>
  </si>
  <si>
    <t>ㅇ프로그램제작비</t>
    <phoneticPr fontId="2" type="noConversion"/>
  </si>
  <si>
    <t>육성비</t>
    <phoneticPr fontId="2" type="noConversion"/>
  </si>
  <si>
    <t>지부육성비</t>
    <phoneticPr fontId="2" type="noConversion"/>
  </si>
  <si>
    <t>경기력향상보조</t>
    <phoneticPr fontId="2" type="noConversion"/>
  </si>
  <si>
    <t>ㅇ시도지부경기력향상비</t>
    <phoneticPr fontId="2" type="noConversion"/>
  </si>
  <si>
    <t>연맹육성보조금</t>
    <phoneticPr fontId="2" type="noConversion"/>
  </si>
  <si>
    <t>지원비</t>
    <phoneticPr fontId="2" type="noConversion"/>
  </si>
  <si>
    <t>ㅇ창단팀지원비</t>
    <phoneticPr fontId="2" type="noConversion"/>
  </si>
  <si>
    <t>ㅇ상무부대 지원금</t>
    <phoneticPr fontId="2" type="noConversion"/>
  </si>
  <si>
    <t xml:space="preserve">   - 경기력향상금</t>
    <phoneticPr fontId="2" type="noConversion"/>
  </si>
  <si>
    <t>강습회</t>
    <phoneticPr fontId="2" type="noConversion"/>
  </si>
  <si>
    <t>지도자강습회</t>
    <phoneticPr fontId="2" type="noConversion"/>
  </si>
  <si>
    <t>ㅇ지도자 및 심판 강습회</t>
    <phoneticPr fontId="2" type="noConversion"/>
  </si>
  <si>
    <t>훈련비</t>
    <phoneticPr fontId="2" type="noConversion"/>
  </si>
  <si>
    <t>급량비</t>
    <phoneticPr fontId="2" type="noConversion"/>
  </si>
  <si>
    <t>ㅇ자비급량비</t>
    <phoneticPr fontId="2" type="noConversion"/>
  </si>
  <si>
    <t>ㅇ간식비</t>
    <phoneticPr fontId="2" type="noConversion"/>
  </si>
  <si>
    <t>ㅇ특식비</t>
    <phoneticPr fontId="2" type="noConversion"/>
  </si>
  <si>
    <t>용구비</t>
    <phoneticPr fontId="2" type="noConversion"/>
  </si>
  <si>
    <t>ㅇ선수촌 훈련장 유지보수(매트등)</t>
    <phoneticPr fontId="2" type="noConversion"/>
  </si>
  <si>
    <t>수당</t>
    <phoneticPr fontId="2" type="noConversion"/>
  </si>
  <si>
    <t>ㅇ지도자수당</t>
    <phoneticPr fontId="2" type="noConversion"/>
  </si>
  <si>
    <t>ㅇ선수촌운영비</t>
    <phoneticPr fontId="2" type="noConversion"/>
  </si>
  <si>
    <t>의료비</t>
    <phoneticPr fontId="2" type="noConversion"/>
  </si>
  <si>
    <t xml:space="preserve">ㅇ대표선수 건강진단비 </t>
    <phoneticPr fontId="2" type="noConversion"/>
  </si>
  <si>
    <t>ㅇ의료비.약품구입비</t>
    <phoneticPr fontId="2" type="noConversion"/>
  </si>
  <si>
    <t>초등학교</t>
    <phoneticPr fontId="2" type="noConversion"/>
  </si>
  <si>
    <t>ㅇ훈련복제작비</t>
    <phoneticPr fontId="2" type="noConversion"/>
  </si>
  <si>
    <t>ㅇ탁구용품</t>
    <phoneticPr fontId="2" type="noConversion"/>
  </si>
  <si>
    <t>청소년</t>
    <phoneticPr fontId="2" type="noConversion"/>
  </si>
  <si>
    <t>대표훈련</t>
    <phoneticPr fontId="2" type="noConversion"/>
  </si>
  <si>
    <t>ㅇ급량비</t>
    <phoneticPr fontId="2" type="noConversion"/>
  </si>
  <si>
    <t xml:space="preserve"> </t>
  </si>
  <si>
    <t xml:space="preserve"> </t>
    <phoneticPr fontId="2" type="noConversion"/>
  </si>
  <si>
    <t>ㅇ체육관사용료</t>
    <phoneticPr fontId="2" type="noConversion"/>
  </si>
  <si>
    <t>후보선수</t>
    <phoneticPr fontId="2" type="noConversion"/>
  </si>
  <si>
    <t>해외파견비</t>
    <phoneticPr fontId="2" type="noConversion"/>
  </si>
  <si>
    <t>선수권</t>
    <phoneticPr fontId="2" type="noConversion"/>
  </si>
  <si>
    <t>항공료</t>
  </si>
  <si>
    <t>ㅇ항공료</t>
    <phoneticPr fontId="2" type="noConversion"/>
  </si>
  <si>
    <t>체재비</t>
  </si>
  <si>
    <t>ㅇ체재비</t>
    <phoneticPr fontId="2" type="noConversion"/>
  </si>
  <si>
    <t>수속비</t>
    <phoneticPr fontId="2" type="noConversion"/>
  </si>
  <si>
    <t>ㅇ여권및비자발급비 등</t>
    <phoneticPr fontId="2" type="noConversion"/>
  </si>
  <si>
    <t>남여아시안컵</t>
    <phoneticPr fontId="2" type="noConversion"/>
  </si>
  <si>
    <t>항공료</t>
    <phoneticPr fontId="2" type="noConversion"/>
  </si>
  <si>
    <t>오픈대회</t>
    <phoneticPr fontId="2" type="noConversion"/>
  </si>
  <si>
    <t>체재비</t>
    <phoneticPr fontId="2" type="noConversion"/>
  </si>
  <si>
    <t>동아시아</t>
    <phoneticPr fontId="2" type="noConversion"/>
  </si>
  <si>
    <t>호프스</t>
    <phoneticPr fontId="2" type="noConversion"/>
  </si>
  <si>
    <t>아시아</t>
    <phoneticPr fontId="2" type="noConversion"/>
  </si>
  <si>
    <t>주니어</t>
    <phoneticPr fontId="2" type="noConversion"/>
  </si>
  <si>
    <t>세계주니어</t>
    <phoneticPr fontId="2" type="noConversion"/>
  </si>
  <si>
    <t>해외전지훈련</t>
    <phoneticPr fontId="2" type="noConversion"/>
  </si>
  <si>
    <t>한중일</t>
    <phoneticPr fontId="2" type="noConversion"/>
  </si>
  <si>
    <t>주니어종합대회</t>
    <phoneticPr fontId="2" type="noConversion"/>
  </si>
  <si>
    <t>국제대회</t>
    <phoneticPr fontId="2" type="noConversion"/>
  </si>
  <si>
    <t>국내개최</t>
    <phoneticPr fontId="2" type="noConversion"/>
  </si>
  <si>
    <t>코리아</t>
    <phoneticPr fontId="2" type="noConversion"/>
  </si>
  <si>
    <t>오픈</t>
    <phoneticPr fontId="2" type="noConversion"/>
  </si>
  <si>
    <t>ㅇ시상금</t>
    <phoneticPr fontId="2" type="noConversion"/>
  </si>
  <si>
    <t>ㅇ기타시상경비(도우미,꽃다발,명패)</t>
    <phoneticPr fontId="2" type="noConversion"/>
  </si>
  <si>
    <t xml:space="preserve">                    (간식비)</t>
    <phoneticPr fontId="2" type="noConversion"/>
  </si>
  <si>
    <t>ㅇ대회장(내.외)현판</t>
    <phoneticPr fontId="2" type="noConversion"/>
  </si>
  <si>
    <t>ㅇ사진촬영 및 CD제작비</t>
    <phoneticPr fontId="2" type="noConversion"/>
  </si>
  <si>
    <t>ㅇ수송비(셔틀버스)</t>
    <phoneticPr fontId="2" type="noConversion"/>
  </si>
  <si>
    <t>ㅇ복사기外기기 임차료</t>
    <phoneticPr fontId="2" type="noConversion"/>
  </si>
  <si>
    <t>ㅇ통신비</t>
    <phoneticPr fontId="2" type="noConversion"/>
  </si>
  <si>
    <t>대회운영비</t>
    <phoneticPr fontId="2" type="noConversion"/>
  </si>
  <si>
    <t>ㅇ조직위원수당</t>
    <phoneticPr fontId="2" type="noConversion"/>
  </si>
  <si>
    <t>ㅇ조직위원식대</t>
    <phoneticPr fontId="2" type="noConversion"/>
  </si>
  <si>
    <t>ㅇ조직위원숙박비</t>
    <phoneticPr fontId="2" type="noConversion"/>
  </si>
  <si>
    <t>ㅇ통역요원숙박</t>
    <phoneticPr fontId="2" type="noConversion"/>
  </si>
  <si>
    <t>ㅇ업무추진비</t>
    <phoneticPr fontId="2" type="noConversion"/>
  </si>
  <si>
    <t>ㅇ봉사요원</t>
    <phoneticPr fontId="2" type="noConversion"/>
  </si>
  <si>
    <t>ㅇ기타(간식비 등)</t>
    <phoneticPr fontId="2" type="noConversion"/>
  </si>
  <si>
    <t>ㅇ음료.간식.문구등</t>
    <phoneticPr fontId="2" type="noConversion"/>
  </si>
  <si>
    <t>ㅇ컴퓨터.복사기 소모품</t>
    <phoneticPr fontId="2" type="noConversion"/>
  </si>
  <si>
    <t>ㅇVIP 영접비</t>
    <phoneticPr fontId="2" type="noConversion"/>
  </si>
  <si>
    <t>기금적립비</t>
    <phoneticPr fontId="2" type="noConversion"/>
  </si>
  <si>
    <t>기금</t>
    <phoneticPr fontId="2" type="noConversion"/>
  </si>
  <si>
    <t>공단기금</t>
    <phoneticPr fontId="2" type="noConversion"/>
  </si>
  <si>
    <t>자체기금</t>
    <phoneticPr fontId="2" type="noConversion"/>
  </si>
  <si>
    <t>이월금</t>
    <phoneticPr fontId="2" type="noConversion"/>
  </si>
  <si>
    <t>잔액이월금</t>
    <phoneticPr fontId="2" type="noConversion"/>
  </si>
  <si>
    <t>합계</t>
    <phoneticPr fontId="2" type="noConversion"/>
  </si>
  <si>
    <t>ㅇ탁구용품구입비(탁구대,탁구공,라바 등)</t>
    <phoneticPr fontId="2" type="noConversion"/>
  </si>
  <si>
    <t>예비비</t>
    <phoneticPr fontId="2" type="noConversion"/>
  </si>
  <si>
    <t>비고</t>
    <phoneticPr fontId="2" type="noConversion"/>
  </si>
  <si>
    <t>차량유지비</t>
    <phoneticPr fontId="2" type="noConversion"/>
  </si>
  <si>
    <t>국고</t>
    <phoneticPr fontId="2" type="noConversion"/>
  </si>
  <si>
    <t>사업수입</t>
    <phoneticPr fontId="2" type="noConversion"/>
  </si>
  <si>
    <t>기타수입</t>
    <phoneticPr fontId="2" type="noConversion"/>
  </si>
  <si>
    <t>공인료</t>
    <phoneticPr fontId="2" type="noConversion"/>
  </si>
  <si>
    <t>(일본,오사카)</t>
    <phoneticPr fontId="2" type="noConversion"/>
  </si>
  <si>
    <t>ㅇ매트설치비</t>
    <phoneticPr fontId="2" type="noConversion"/>
  </si>
  <si>
    <t>30,000원X15명X5일=</t>
  </si>
  <si>
    <t>30,000원X15명X7일=</t>
  </si>
  <si>
    <t>15,000원X15명X7일=</t>
  </si>
  <si>
    <t>50,000원X15명=</t>
  </si>
  <si>
    <t>우승 - 500,000원X10종목=</t>
  </si>
  <si>
    <t>준우승 - 300,000원X10종목=</t>
  </si>
  <si>
    <t>30,000원X15명X6일=</t>
  </si>
  <si>
    <t>15,000원X15명X6일=</t>
  </si>
  <si>
    <t>40,000원X8실X6박=</t>
  </si>
  <si>
    <t>15,000원X15명X5일=</t>
  </si>
  <si>
    <t>1,500,000원X4분기=</t>
  </si>
  <si>
    <t>ㅇ심판숙박비</t>
    <phoneticPr fontId="2" type="noConversion"/>
  </si>
  <si>
    <t>ㅇ운임</t>
    <phoneticPr fontId="2" type="noConversion"/>
  </si>
  <si>
    <t>ㅇ시상메달제작비</t>
    <phoneticPr fontId="2" type="noConversion"/>
  </si>
  <si>
    <t>(단체)1위: 110,000X2개=</t>
    <phoneticPr fontId="2" type="noConversion"/>
  </si>
  <si>
    <t>2위:  99,000X2개=</t>
    <phoneticPr fontId="2" type="noConversion"/>
  </si>
  <si>
    <t>3위:  77,000X4개=</t>
    <phoneticPr fontId="2" type="noConversion"/>
  </si>
  <si>
    <t>22,000X32개=</t>
    <phoneticPr fontId="2" type="noConversion"/>
  </si>
  <si>
    <t>예비비</t>
    <phoneticPr fontId="2" type="noConversion"/>
  </si>
  <si>
    <t>ㅇ예비비</t>
    <phoneticPr fontId="2" type="noConversion"/>
  </si>
  <si>
    <t>ㅇ매트설치비 및 휀스카바 外</t>
    <phoneticPr fontId="2" type="noConversion"/>
  </si>
  <si>
    <t>1,000,000원X2회=</t>
    <phoneticPr fontId="2" type="noConversion"/>
  </si>
  <si>
    <t>ㅇ시상컵</t>
    <phoneticPr fontId="2" type="noConversion"/>
  </si>
  <si>
    <t>교통비</t>
    <phoneticPr fontId="2" type="noConversion"/>
  </si>
  <si>
    <t>대비훈련</t>
    <phoneticPr fontId="2" type="noConversion"/>
  </si>
  <si>
    <t>500,000원X2회=</t>
    <phoneticPr fontId="2" type="noConversion"/>
  </si>
  <si>
    <t>상비군 훈련</t>
    <phoneticPr fontId="2" type="noConversion"/>
  </si>
  <si>
    <t>(호프스,카뎃</t>
    <phoneticPr fontId="2" type="noConversion"/>
  </si>
  <si>
    <t>주니어 합동훈련)</t>
    <phoneticPr fontId="2" type="noConversion"/>
  </si>
  <si>
    <t>급식비</t>
    <phoneticPr fontId="2" type="noConversion"/>
  </si>
  <si>
    <t>숙박비</t>
    <phoneticPr fontId="2" type="noConversion"/>
  </si>
  <si>
    <t>시설비</t>
    <phoneticPr fontId="2" type="noConversion"/>
  </si>
  <si>
    <t>수당</t>
    <phoneticPr fontId="2" type="noConversion"/>
  </si>
  <si>
    <t>예비비</t>
    <phoneticPr fontId="2" type="noConversion"/>
  </si>
  <si>
    <t>8,000,000원X16개시도=</t>
    <phoneticPr fontId="2" type="noConversion"/>
  </si>
  <si>
    <t>세계선수권</t>
    <phoneticPr fontId="2" type="noConversion"/>
  </si>
  <si>
    <t>2008 예산</t>
    <phoneticPr fontId="2" type="noConversion"/>
  </si>
  <si>
    <t>300,000원X10회=</t>
    <phoneticPr fontId="2" type="noConversion"/>
  </si>
  <si>
    <t>제62회</t>
    <phoneticPr fontId="2" type="noConversion"/>
  </si>
  <si>
    <t>시상비</t>
    <phoneticPr fontId="2" type="noConversion"/>
  </si>
  <si>
    <t>경기비</t>
    <phoneticPr fontId="2" type="noConversion"/>
  </si>
  <si>
    <t>체육관사용료</t>
    <phoneticPr fontId="2" type="noConversion"/>
  </si>
  <si>
    <t>인쇄비</t>
    <phoneticPr fontId="2" type="noConversion"/>
  </si>
  <si>
    <t>시설비</t>
    <phoneticPr fontId="2" type="noConversion"/>
  </si>
  <si>
    <t>여비및활동비</t>
    <phoneticPr fontId="2" type="noConversion"/>
  </si>
  <si>
    <t>섭외비</t>
    <phoneticPr fontId="2" type="noConversion"/>
  </si>
  <si>
    <t>급식비</t>
    <phoneticPr fontId="2" type="noConversion"/>
  </si>
  <si>
    <t>숙박비</t>
    <phoneticPr fontId="2" type="noConversion"/>
  </si>
  <si>
    <t>ㅇ홍보비</t>
    <phoneticPr fontId="2" type="noConversion"/>
  </si>
  <si>
    <t>홍보비</t>
    <phoneticPr fontId="2" type="noConversion"/>
  </si>
  <si>
    <t>ㅇ예비비</t>
    <phoneticPr fontId="2" type="noConversion"/>
  </si>
  <si>
    <t>예비비</t>
    <phoneticPr fontId="2" type="noConversion"/>
  </si>
  <si>
    <t>ㅇ2008 한일 우수청소년 스포츠 교류사업</t>
    <phoneticPr fontId="2" type="noConversion"/>
  </si>
  <si>
    <t>(중국,베이징)</t>
    <phoneticPr fontId="2" type="noConversion"/>
  </si>
  <si>
    <t>항공료</t>
    <phoneticPr fontId="2" type="noConversion"/>
  </si>
  <si>
    <t>ㅇ항공료</t>
    <phoneticPr fontId="2" type="noConversion"/>
  </si>
  <si>
    <t>600,000원X10명=</t>
    <phoneticPr fontId="2" type="noConversion"/>
  </si>
  <si>
    <t>체재비</t>
    <phoneticPr fontId="2" type="noConversion"/>
  </si>
  <si>
    <t>ㅇ체재비</t>
    <phoneticPr fontId="2" type="noConversion"/>
  </si>
  <si>
    <t>$50X10명X12박X1,000원=</t>
    <phoneticPr fontId="2" type="noConversion"/>
  </si>
  <si>
    <t>대륙예선전</t>
    <phoneticPr fontId="2" type="noConversion"/>
  </si>
  <si>
    <t>600,000원X6명=</t>
    <phoneticPr fontId="2" type="noConversion"/>
  </si>
  <si>
    <t>ㅇ비자발급비</t>
    <phoneticPr fontId="2" type="noConversion"/>
  </si>
  <si>
    <t>$150X6명X6일X1,000원=</t>
    <phoneticPr fontId="2" type="noConversion"/>
  </si>
  <si>
    <t>(미정)</t>
    <phoneticPr fontId="2" type="noConversion"/>
  </si>
  <si>
    <t>주니어대표</t>
    <phoneticPr fontId="2" type="noConversion"/>
  </si>
  <si>
    <t>해외전지훈련</t>
    <phoneticPr fontId="2" type="noConversion"/>
  </si>
  <si>
    <t>포상금</t>
    <phoneticPr fontId="2" type="noConversion"/>
  </si>
  <si>
    <t>ㅇ심판간식비</t>
    <phoneticPr fontId="2" type="noConversion"/>
  </si>
  <si>
    <t>ㅇ프로그램제작비</t>
    <phoneticPr fontId="2" type="noConversion"/>
  </si>
  <si>
    <t>ㅇ심판간식비</t>
    <phoneticPr fontId="2" type="noConversion"/>
  </si>
  <si>
    <t>ㅇ심판숙박비</t>
    <phoneticPr fontId="2" type="noConversion"/>
  </si>
  <si>
    <t>ㅇ간식비</t>
    <phoneticPr fontId="2" type="noConversion"/>
  </si>
  <si>
    <t>(2009.01.01~2009.12.31)</t>
    <phoneticPr fontId="2" type="noConversion"/>
  </si>
  <si>
    <t>2009 예산</t>
    <phoneticPr fontId="2" type="noConversion"/>
  </si>
  <si>
    <t>(일본,요꼬하마)</t>
    <phoneticPr fontId="2" type="noConversion"/>
  </si>
  <si>
    <t>ㅇ항공료(선수단)</t>
    <phoneticPr fontId="2" type="noConversion"/>
  </si>
  <si>
    <t>ㅇ체재비 - 싱글룸</t>
    <phoneticPr fontId="2" type="noConversion"/>
  </si>
  <si>
    <t>선수 : 150유로X12명X11박X1,740원=</t>
    <phoneticPr fontId="2" type="noConversion"/>
  </si>
  <si>
    <r>
      <t>선수 :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2명X11박X1,740원=</t>
    </r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</si>
  <si>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</si>
  <si>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>ㅇ선수단 - 싱글룸</t>
    <phoneticPr fontId="2" type="noConversion"/>
  </si>
  <si>
    <t>ㅇ임원단 - 싱글룸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</si>
  <si>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</si>
  <si>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</si>
  <si>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 xml:space="preserve">             - 개최국 지원</t>
    <phoneticPr fontId="2" type="noConversion"/>
  </si>
  <si>
    <t>ㅇ참관단 - 더블룸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</si>
  <si>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rFont val="돋움"/>
        <family val="3"/>
        <charset val="129"/>
      </rPr>
      <t>10명X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</si>
  <si>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>ㅇ기자단 - 싱글룸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</si>
  <si>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1명X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1박X1,740원=</t>
    </r>
    <phoneticPr fontId="2" type="noConversion"/>
  </si>
  <si>
    <t>$10X19명X10일X1,350원=</t>
    <phoneticPr fontId="2" type="noConversion"/>
  </si>
  <si>
    <t>ㅇ엔트리비</t>
    <phoneticPr fontId="2" type="noConversion"/>
  </si>
  <si>
    <t>복식 : 40유로X12명X1,740원=</t>
    <phoneticPr fontId="2" type="noConversion"/>
  </si>
  <si>
    <t>단식 : 20유로X14명X1,740원=</t>
    <phoneticPr fontId="2" type="noConversion"/>
  </si>
  <si>
    <t>ㅇ심   판 - 싱글룸</t>
    <phoneticPr fontId="2" type="noConversion"/>
  </si>
  <si>
    <t>ㅇ여권 등</t>
    <phoneticPr fontId="2" type="noConversion"/>
  </si>
  <si>
    <t>ㅇ부식 구입비</t>
    <phoneticPr fontId="2" type="noConversion"/>
  </si>
  <si>
    <t>중국,일본</t>
    <phoneticPr fontId="2" type="noConversion"/>
  </si>
  <si>
    <t>ㅇ항공료(중국오픈)</t>
    <phoneticPr fontId="2" type="noConversion"/>
  </si>
  <si>
    <t>621,280원X16명=</t>
    <phoneticPr fontId="2" type="noConversion"/>
  </si>
  <si>
    <t xml:space="preserve">             (일본오픈)</t>
    <phoneticPr fontId="2" type="noConversion"/>
  </si>
  <si>
    <t>582,250원X16명=</t>
    <phoneticPr fontId="2" type="noConversion"/>
  </si>
  <si>
    <t>ㅇ중국오픈 - 싱글룸</t>
    <phoneticPr fontId="2" type="noConversion"/>
  </si>
  <si>
    <r>
      <t>$150X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4명X6박X1,350원=</t>
    </r>
    <phoneticPr fontId="2" type="noConversion"/>
  </si>
  <si>
    <t>$120X12명X6박X1,350원=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</si>
  <si>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더블룸</t>
    </r>
    <phoneticPr fontId="2" type="noConversion"/>
  </si>
  <si>
    <t>ㅇ일본오픈 - 싱글룸</t>
    <phoneticPr fontId="2" type="noConversion"/>
  </si>
  <si>
    <r>
      <t>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4명X5박X1,740원=</t>
    </r>
    <phoneticPr fontId="2" type="noConversion"/>
  </si>
  <si>
    <t>150유로X12명X5박X1,740원=</t>
    <phoneticPr fontId="2" type="noConversion"/>
  </si>
  <si>
    <t>ㅇ간  식 비 - 중국오픈</t>
    <phoneticPr fontId="2" type="noConversion"/>
  </si>
  <si>
    <t>$10X16명X7일X1,350원=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</si>
  <si>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일본오픈</t>
    </r>
    <phoneticPr fontId="2" type="noConversion"/>
  </si>
  <si>
    <t>$10X16명X6일X1,350원=</t>
    <phoneticPr fontId="2" type="noConversion"/>
  </si>
  <si>
    <t>ㅇ엔트리비 - 중국오픈</t>
    <phoneticPr fontId="2" type="noConversion"/>
  </si>
  <si>
    <t>$20X12명X2회X1,350원=</t>
    <phoneticPr fontId="2" type="noConversion"/>
  </si>
  <si>
    <t>ㅇ등  록 비 - 중국오픈</t>
    <phoneticPr fontId="2" type="noConversion"/>
  </si>
  <si>
    <t>(선수) 125유로X12명X1,740원=</t>
    <phoneticPr fontId="2" type="noConversion"/>
  </si>
  <si>
    <r>
      <t>(임원) 100유로X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4명X1,740원=</t>
    </r>
    <phoneticPr fontId="2" type="noConversion"/>
  </si>
  <si>
    <t>ㅇ여권 및 비자 수속비</t>
    <phoneticPr fontId="2" type="noConversion"/>
  </si>
  <si>
    <t>250,000원X2개대회=</t>
    <phoneticPr fontId="2" type="noConversion"/>
  </si>
  <si>
    <t>1,000,000원X2개대회=</t>
    <phoneticPr fontId="2" type="noConversion"/>
  </si>
  <si>
    <t>폴란드,스웨덴</t>
    <phoneticPr fontId="2" type="noConversion"/>
  </si>
  <si>
    <t>2,500,000원X16명=</t>
    <phoneticPr fontId="2" type="noConversion"/>
  </si>
  <si>
    <t>150유로X12명X7박X1,740원=</t>
    <phoneticPr fontId="2" type="noConversion"/>
  </si>
  <si>
    <r>
      <t>175유로X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4명X7박X1,740원=</t>
    </r>
    <phoneticPr fontId="2" type="noConversion"/>
  </si>
  <si>
    <r>
      <t>155유로X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4명X7박X1,740원=</t>
    </r>
    <phoneticPr fontId="2" type="noConversion"/>
  </si>
  <si>
    <t>130유로X12명X7박X1,740원=</t>
    <phoneticPr fontId="2" type="noConversion"/>
  </si>
  <si>
    <r>
      <rPr>
        <sz val="10"/>
        <color indexed="9"/>
        <rFont val="돋움"/>
        <family val="3"/>
        <charset val="129"/>
      </rPr>
      <t xml:space="preserve">    웨덴오픈</t>
    </r>
    <r>
      <rPr>
        <sz val="10"/>
        <rFont val="돋움"/>
        <family val="3"/>
        <charset val="129"/>
      </rPr>
      <t>- 더블룸</t>
    </r>
    <phoneticPr fontId="2" type="noConversion"/>
  </si>
  <si>
    <t>ㅇ스  웨 덴 - 싱글룸</t>
    <phoneticPr fontId="2" type="noConversion"/>
  </si>
  <si>
    <t>ㅇ폴  란 드 - 싱글룸</t>
    <phoneticPr fontId="2" type="noConversion"/>
  </si>
  <si>
    <t>$10X16명X16일X1,350원=</t>
    <phoneticPr fontId="2" type="noConversion"/>
  </si>
  <si>
    <t>ㅇ등  록 비 - 스웨덴오픈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</si>
  <si>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폴란드오픈</t>
    </r>
    <phoneticPr fontId="2" type="noConversion"/>
  </si>
  <si>
    <t>ㅇ간  식 비</t>
    <phoneticPr fontId="2" type="noConversion"/>
  </si>
  <si>
    <t>2,000,000원X2개대회=</t>
    <phoneticPr fontId="2" type="noConversion"/>
  </si>
  <si>
    <t>800,000원X19명=</t>
    <phoneticPr fontId="2" type="noConversion"/>
  </si>
  <si>
    <r>
      <t>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3명X8박X1,740원=</t>
    </r>
    <phoneticPr fontId="2" type="noConversion"/>
  </si>
  <si>
    <t>100유로X16명X8박X1,740원=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</si>
  <si>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</si>
  <si>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t>100유로X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7명X7박X1,740원=</t>
    </r>
    <phoneticPr fontId="2" type="noConversion"/>
  </si>
  <si>
    <t>$10X19명X9일X1,350원=</t>
    <phoneticPr fontId="2" type="noConversion"/>
  </si>
  <si>
    <t>150,000원X12월=</t>
    <phoneticPr fontId="2" type="noConversion"/>
  </si>
  <si>
    <t>제55회</t>
    <phoneticPr fontId="2" type="noConversion"/>
  </si>
  <si>
    <t>제25회</t>
    <phoneticPr fontId="2" type="noConversion"/>
  </si>
  <si>
    <t>제38회</t>
    <phoneticPr fontId="2" type="noConversion"/>
  </si>
  <si>
    <t xml:space="preserve">제42회 </t>
    <phoneticPr fontId="2" type="noConversion"/>
  </si>
  <si>
    <t xml:space="preserve">제90회 </t>
    <phoneticPr fontId="2" type="noConversion"/>
  </si>
  <si>
    <t>제63회</t>
    <phoneticPr fontId="2" type="noConversion"/>
  </si>
  <si>
    <t>ㅇ연맹경기력향상비</t>
    <phoneticPr fontId="2" type="noConversion"/>
  </si>
  <si>
    <r>
      <t>8,000,000원X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4개연맹=</t>
    </r>
    <phoneticPr fontId="2" type="noConversion"/>
  </si>
  <si>
    <t>1,000,000원X10개팀=</t>
    <phoneticPr fontId="2" type="noConversion"/>
  </si>
  <si>
    <t>2008올림픽</t>
    <phoneticPr fontId="2" type="noConversion"/>
  </si>
  <si>
    <t>80,000원X12월=</t>
    <phoneticPr fontId="2" type="noConversion"/>
  </si>
  <si>
    <t>ㅇ임.직원 업무추진비</t>
    <phoneticPr fontId="2" type="noConversion"/>
  </si>
  <si>
    <t>베이징올림픽</t>
    <phoneticPr fontId="2" type="noConversion"/>
  </si>
  <si>
    <t>ㅇ항공료</t>
    <phoneticPr fontId="2" type="noConversion"/>
  </si>
  <si>
    <t>$100X12명X9박X1,350원=</t>
    <phoneticPr fontId="2" type="noConversion"/>
  </si>
  <si>
    <t>(인도)</t>
    <phoneticPr fontId="2" type="noConversion"/>
  </si>
  <si>
    <t>85,000원X18명=</t>
    <phoneticPr fontId="2" type="noConversion"/>
  </si>
  <si>
    <t>ㅇ체재비-싱글룸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</si>
  <si>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>-더블룸</t>
    </r>
    <phoneticPr fontId="2" type="noConversion"/>
  </si>
  <si>
    <t>80유로X10명X13박X1,740원=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</si>
  <si>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>-개최국 지원</t>
    </r>
    <phoneticPr fontId="2" type="noConversion"/>
  </si>
  <si>
    <r>
      <t>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5명X10박X1,740원=</t>
    </r>
    <phoneticPr fontId="2" type="noConversion"/>
  </si>
  <si>
    <r>
      <t>34유로X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2팀X1,740원=</t>
    </r>
    <phoneticPr fontId="2" type="noConversion"/>
  </si>
  <si>
    <r>
      <t>20유로X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8명X1,740원=</t>
    </r>
    <phoneticPr fontId="2" type="noConversion"/>
  </si>
  <si>
    <r>
      <t>10유로X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8명X1,740원=</t>
    </r>
    <phoneticPr fontId="2" type="noConversion"/>
  </si>
  <si>
    <t>(콜롬비아)</t>
    <phoneticPr fontId="2" type="noConversion"/>
  </si>
  <si>
    <t>621,280원X6명=</t>
    <phoneticPr fontId="2" type="noConversion"/>
  </si>
  <si>
    <t>$170X2명X3박X1,350원=</t>
    <phoneticPr fontId="2" type="noConversion"/>
  </si>
  <si>
    <t>$150X4명X3박X1,350원=</t>
    <phoneticPr fontId="2" type="noConversion"/>
  </si>
  <si>
    <t>더블:$150X4명X3박X1,350원=</t>
    <phoneticPr fontId="2" type="noConversion"/>
  </si>
  <si>
    <t>싱글:$170X1명X3박X1,350원=</t>
    <phoneticPr fontId="2" type="noConversion"/>
  </si>
  <si>
    <t>$10X6명X4일X1,350원=</t>
    <phoneticPr fontId="2" type="noConversion"/>
  </si>
  <si>
    <t>(스페인,프랑스)</t>
    <phoneticPr fontId="2" type="noConversion"/>
  </si>
  <si>
    <t>2,700,000원X15명=</t>
    <phoneticPr fontId="2" type="noConversion"/>
  </si>
  <si>
    <t>120유로X1명X7박X1,740원=</t>
    <phoneticPr fontId="2" type="noConversion"/>
  </si>
  <si>
    <t>80유로X14명X7박X1,740원=</t>
    <phoneticPr fontId="2" type="noConversion"/>
  </si>
  <si>
    <t>ㅇ스페인-싱글룸</t>
    <phoneticPr fontId="2" type="noConversion"/>
  </si>
  <si>
    <t>ㅇ프랑스-싱글룸</t>
    <phoneticPr fontId="2" type="noConversion"/>
  </si>
  <si>
    <r>
      <rPr>
        <sz val="10"/>
        <color indexed="9"/>
        <rFont val="돋움"/>
        <family val="3"/>
        <charset val="129"/>
      </rPr>
      <t>ㅇ프랑스</t>
    </r>
    <r>
      <rPr>
        <sz val="10"/>
        <rFont val="돋움"/>
        <family val="3"/>
        <charset val="129"/>
      </rPr>
      <t>-더블룸</t>
    </r>
    <phoneticPr fontId="2" type="noConversion"/>
  </si>
  <si>
    <t>145유로X1명X7박X1,740원=</t>
    <phoneticPr fontId="2" type="noConversion"/>
  </si>
  <si>
    <t>105유로X14명X7박X1,740원=</t>
    <phoneticPr fontId="2" type="noConversion"/>
  </si>
  <si>
    <t>$10X15명X15일X1,350원=</t>
    <phoneticPr fontId="2" type="noConversion"/>
  </si>
  <si>
    <t>수속비</t>
    <phoneticPr fontId="2" type="noConversion"/>
  </si>
  <si>
    <t>월드팀컵</t>
    <phoneticPr fontId="2" type="noConversion"/>
  </si>
  <si>
    <t>(오스트리아,린쯔)</t>
    <phoneticPr fontId="2" type="noConversion"/>
  </si>
  <si>
    <t>2,000,000원X11명=</t>
    <phoneticPr fontId="2" type="noConversion"/>
  </si>
  <si>
    <t>145유로X3명X6박X1,740원=</t>
    <phoneticPr fontId="2" type="noConversion"/>
  </si>
  <si>
    <t>120유로X8명X6박X1,740원=</t>
    <phoneticPr fontId="2" type="noConversion"/>
  </si>
  <si>
    <t>120유로X4명X5박X1,740원=</t>
    <phoneticPr fontId="2" type="noConversion"/>
  </si>
  <si>
    <t>$10X11명X7박X1,350원</t>
    <phoneticPr fontId="2" type="noConversion"/>
  </si>
  <si>
    <t>200,000원X2명=</t>
    <phoneticPr fontId="2" type="noConversion"/>
  </si>
  <si>
    <t>100,000원X1회=</t>
    <phoneticPr fontId="2" type="noConversion"/>
  </si>
  <si>
    <t>$300X1,350원=</t>
    <phoneticPr fontId="2" type="noConversion"/>
  </si>
  <si>
    <t>ㅇ임원 급식비</t>
    <phoneticPr fontId="2" type="noConversion"/>
  </si>
  <si>
    <t>500,000원X5명=</t>
    <phoneticPr fontId="2" type="noConversion"/>
  </si>
  <si>
    <t>월드카뎃챌린지</t>
    <phoneticPr fontId="2" type="noConversion"/>
  </si>
  <si>
    <t>(일본,도쿄)</t>
    <phoneticPr fontId="2" type="noConversion"/>
  </si>
  <si>
    <t>주니어써킷</t>
    <phoneticPr fontId="2" type="noConversion"/>
  </si>
  <si>
    <t>582,250원X8명=</t>
    <phoneticPr fontId="2" type="noConversion"/>
  </si>
  <si>
    <t>ㅇ체재비-주니어 코치</t>
    <phoneticPr fontId="2" type="noConversion"/>
  </si>
  <si>
    <t>$125X1명X4박X1,350원=</t>
    <phoneticPr fontId="2" type="noConversion"/>
  </si>
  <si>
    <t>$10X8명X5일X1,350원=</t>
    <phoneticPr fontId="2" type="noConversion"/>
  </si>
  <si>
    <t>650,000원X12월=</t>
    <phoneticPr fontId="2" type="noConversion"/>
  </si>
  <si>
    <t>450,000원X12월=</t>
    <phoneticPr fontId="2" type="noConversion"/>
  </si>
  <si>
    <t>해외전지훈련</t>
    <phoneticPr fontId="2" type="noConversion"/>
  </si>
  <si>
    <t>(푼샬,에콰도르)</t>
    <phoneticPr fontId="2" type="noConversion"/>
  </si>
  <si>
    <r>
      <t>ㅇ푼</t>
    </r>
    <r>
      <rPr>
        <sz val="10"/>
        <color indexed="9"/>
        <rFont val="돋움"/>
        <family val="3"/>
        <charset val="129"/>
      </rPr>
      <t>재</t>
    </r>
    <r>
      <rPr>
        <sz val="10"/>
        <rFont val="돋움"/>
        <family val="3"/>
        <charset val="129"/>
      </rPr>
      <t>샬-싱글룸</t>
    </r>
    <phoneticPr fontId="2" type="noConversion"/>
  </si>
  <si>
    <t>100유로X1명X7박X1,740원=</t>
    <phoneticPr fontId="2" type="noConversion"/>
  </si>
  <si>
    <t>ㅇ에콰도르-싱글룸</t>
    <phoneticPr fontId="2" type="noConversion"/>
  </si>
  <si>
    <t>$75X1명X7박X1,350원=</t>
    <phoneticPr fontId="2" type="noConversion"/>
  </si>
  <si>
    <r>
      <rPr>
        <sz val="10"/>
        <color indexed="9"/>
        <rFont val="돋움"/>
        <family val="3"/>
        <charset val="129"/>
      </rPr>
      <t>ㅇ체재비비</t>
    </r>
    <r>
      <rPr>
        <sz val="10"/>
        <rFont val="돋움"/>
        <family val="3"/>
        <charset val="129"/>
      </rPr>
      <t>-더블룸</t>
    </r>
    <phoneticPr fontId="2" type="noConversion"/>
  </si>
  <si>
    <t>$65X14명X7박X1,350원=</t>
    <phoneticPr fontId="2" type="noConversion"/>
  </si>
  <si>
    <t>국제회의파견</t>
    <phoneticPr fontId="2" type="noConversion"/>
  </si>
  <si>
    <t>(아시아연합)</t>
    <phoneticPr fontId="2" type="noConversion"/>
  </si>
  <si>
    <t>600,000원X1명=</t>
    <phoneticPr fontId="2" type="noConversion"/>
  </si>
  <si>
    <t>ㅇ출장비</t>
    <phoneticPr fontId="2" type="noConversion"/>
  </si>
  <si>
    <t>$80X1명X5일X1,350원=</t>
    <phoneticPr fontId="2" type="noConversion"/>
  </si>
  <si>
    <t>(국제연맹)</t>
    <phoneticPr fontId="2" type="noConversion"/>
  </si>
  <si>
    <t>2,000,000원X1명=</t>
    <phoneticPr fontId="2" type="noConversion"/>
  </si>
  <si>
    <t>1,300,000원X19명=</t>
    <phoneticPr fontId="2" type="noConversion"/>
  </si>
  <si>
    <r>
      <t>$130X</t>
    </r>
    <r>
      <rPr>
        <sz val="10"/>
        <rFont val="돋움"/>
        <family val="3"/>
        <charset val="129"/>
      </rPr>
      <t>7명X9박X1,350원=</t>
    </r>
    <phoneticPr fontId="2" type="noConversion"/>
  </si>
  <si>
    <r>
      <t>$100X</t>
    </r>
    <r>
      <rPr>
        <sz val="10"/>
        <rFont val="돋움"/>
        <family val="3"/>
        <charset val="129"/>
      </rPr>
      <t>9명X8박X1,350원=</t>
    </r>
    <phoneticPr fontId="2" type="noConversion"/>
  </si>
  <si>
    <t>582,250원X19명=</t>
    <phoneticPr fontId="2" type="noConversion"/>
  </si>
  <si>
    <t>$10X19명X12일X1,350원=</t>
    <phoneticPr fontId="2" type="noConversion"/>
  </si>
  <si>
    <t>200,000원X4개X2회=</t>
    <phoneticPr fontId="2" type="noConversion"/>
  </si>
  <si>
    <t>ㅇ토너구입(칼라프린트)</t>
    <phoneticPr fontId="2" type="noConversion"/>
  </si>
  <si>
    <t>86,000원X4회=</t>
    <phoneticPr fontId="2" type="noConversion"/>
  </si>
  <si>
    <t xml:space="preserve">              (흑백프린트)</t>
    <phoneticPr fontId="2" type="noConversion"/>
  </si>
  <si>
    <t>ㅇ봉투제작비</t>
    <phoneticPr fontId="2" type="noConversion"/>
  </si>
  <si>
    <t>ㅇ차량임차료</t>
    <phoneticPr fontId="2" type="noConversion"/>
  </si>
  <si>
    <t>918,500원X12개월=</t>
    <phoneticPr fontId="2" type="noConversion"/>
  </si>
  <si>
    <t>50,000원X12개월=</t>
    <phoneticPr fontId="2" type="noConversion"/>
  </si>
  <si>
    <t>ㅇ주유비</t>
    <phoneticPr fontId="2" type="noConversion"/>
  </si>
  <si>
    <t>200,000원X12개월=</t>
    <phoneticPr fontId="2" type="noConversion"/>
  </si>
  <si>
    <t>1,000,000원X12월=</t>
    <phoneticPr fontId="2" type="noConversion"/>
  </si>
  <si>
    <t>ㅇ심판증 카드발급기 및 프로그램</t>
    <phoneticPr fontId="2" type="noConversion"/>
  </si>
  <si>
    <t>꿈나무선수</t>
    <phoneticPr fontId="2" type="noConversion"/>
  </si>
  <si>
    <t>ㅇ2009 꿈나무선수 선발 측정.평가비</t>
    <phoneticPr fontId="2" type="noConversion"/>
  </si>
  <si>
    <t>ㅇ2009 꿈나무선수 관리지원비</t>
    <phoneticPr fontId="2" type="noConversion"/>
  </si>
  <si>
    <t>ㅇ2009 꿈나무선수 하계합숙훈련비</t>
    <phoneticPr fontId="2" type="noConversion"/>
  </si>
  <si>
    <t>ㅇ2009 꿈나무선수 동계합숙훈련비</t>
    <phoneticPr fontId="2" type="noConversion"/>
  </si>
  <si>
    <t>ㅇ2009 후보선수 동계합숙훈련비</t>
    <phoneticPr fontId="2" type="noConversion"/>
  </si>
  <si>
    <t>ㅇ2009 후보선수 하계합숙훈련비</t>
    <phoneticPr fontId="2" type="noConversion"/>
  </si>
  <si>
    <t>ㅇ복사기유지보수료</t>
    <phoneticPr fontId="2" type="noConversion"/>
  </si>
  <si>
    <t>100,000원X12개월=</t>
    <phoneticPr fontId="2" type="noConversion"/>
  </si>
  <si>
    <t>ㅇ홈페이지실명확인수수료</t>
    <phoneticPr fontId="2" type="noConversion"/>
  </si>
  <si>
    <t>55,000원X12개월=</t>
    <phoneticPr fontId="2" type="noConversion"/>
  </si>
  <si>
    <t>ㅇ일반서류 인쇄비(상장양식포함)</t>
    <phoneticPr fontId="2" type="noConversion"/>
  </si>
  <si>
    <t>ㅇ프린터드럼교체비용</t>
    <phoneticPr fontId="2" type="noConversion"/>
  </si>
  <si>
    <t>ㅇ사무시설 및 비품구입</t>
    <phoneticPr fontId="2" type="noConversion"/>
  </si>
  <si>
    <t>ㅇ직원 국내출장</t>
    <phoneticPr fontId="2" type="noConversion"/>
  </si>
  <si>
    <t>ㅇ3연패기제작비(삼성생명남자팀)</t>
    <phoneticPr fontId="2" type="noConversion"/>
  </si>
  <si>
    <t>250,000원X1개=</t>
    <phoneticPr fontId="2" type="noConversion"/>
  </si>
  <si>
    <t>30,000원X21명X5일=</t>
    <phoneticPr fontId="2" type="noConversion"/>
  </si>
  <si>
    <t>15,000원X26명X5일=</t>
    <phoneticPr fontId="2" type="noConversion"/>
  </si>
  <si>
    <t>10,000원X14명X5일=</t>
    <phoneticPr fontId="2" type="noConversion"/>
  </si>
  <si>
    <t>30,000원X20명=</t>
    <phoneticPr fontId="2" type="noConversion"/>
  </si>
  <si>
    <t>50,000원X1명=</t>
    <phoneticPr fontId="2" type="noConversion"/>
  </si>
  <si>
    <t>50,000원X4실X5박=</t>
    <phoneticPr fontId="2" type="noConversion"/>
  </si>
  <si>
    <t>3,000원X21명X5일=</t>
    <phoneticPr fontId="2" type="noConversion"/>
  </si>
  <si>
    <t>ㅇ심판특식비</t>
    <phoneticPr fontId="2" type="noConversion"/>
  </si>
  <si>
    <t>ㅇ매트설치비(9대분)</t>
    <phoneticPr fontId="2" type="noConversion"/>
  </si>
  <si>
    <t>198,000원X2대X2회=</t>
    <phoneticPr fontId="2" type="noConversion"/>
  </si>
  <si>
    <t>ㅇ사인라켓구입비</t>
    <phoneticPr fontId="2" type="noConversion"/>
  </si>
  <si>
    <t>33,000원X10개=</t>
    <phoneticPr fontId="2" type="noConversion"/>
  </si>
  <si>
    <t>ㅇ경품비</t>
    <phoneticPr fontId="2" type="noConversion"/>
  </si>
  <si>
    <t>1,000,000원X2일=</t>
    <phoneticPr fontId="2" type="noConversion"/>
  </si>
  <si>
    <t>400,000원X5일=</t>
    <phoneticPr fontId="2" type="noConversion"/>
  </si>
  <si>
    <t>50,000원X10실X5박=</t>
    <phoneticPr fontId="2" type="noConversion"/>
  </si>
  <si>
    <t>15,400원X300부=</t>
    <phoneticPr fontId="2" type="noConversion"/>
  </si>
  <si>
    <t>(용인)</t>
    <phoneticPr fontId="2" type="noConversion"/>
  </si>
  <si>
    <t>ㅇ심판수당(2차)</t>
    <phoneticPr fontId="2" type="noConversion"/>
  </si>
  <si>
    <t>30,000원X35명X4일=</t>
    <phoneticPr fontId="2" type="noConversion"/>
  </si>
  <si>
    <t>15,000원X35명X4일=</t>
    <phoneticPr fontId="2" type="noConversion"/>
  </si>
  <si>
    <t>ㅇ심판왕복여비</t>
    <phoneticPr fontId="2" type="noConversion"/>
  </si>
  <si>
    <t>50,000원X35명=</t>
    <phoneticPr fontId="2" type="noConversion"/>
  </si>
  <si>
    <t>3,000원X35명X4일=</t>
    <phoneticPr fontId="2" type="noConversion"/>
  </si>
  <si>
    <t>ㅇ용구운임</t>
    <phoneticPr fontId="2" type="noConversion"/>
  </si>
  <si>
    <t>660,000원X2회=</t>
    <phoneticPr fontId="2" type="noConversion"/>
  </si>
  <si>
    <t>30,000원X31명X4일=</t>
    <phoneticPr fontId="2" type="noConversion"/>
  </si>
  <si>
    <t>15,000원X31명X4일=</t>
    <phoneticPr fontId="2" type="noConversion"/>
  </si>
  <si>
    <t>3,000원X31명X4일=</t>
    <phoneticPr fontId="2" type="noConversion"/>
  </si>
  <si>
    <t>(2차/3차)</t>
    <phoneticPr fontId="2" type="noConversion"/>
  </si>
  <si>
    <t>ㅇ심판식대(2차)</t>
    <phoneticPr fontId="2" type="noConversion"/>
  </si>
  <si>
    <t>ㅇ심판간식비(2차)</t>
    <phoneticPr fontId="2" type="noConversion"/>
  </si>
  <si>
    <r>
      <rPr>
        <sz val="10"/>
        <color indexed="9"/>
        <rFont val="돋움"/>
        <family val="3"/>
        <charset val="129"/>
      </rPr>
      <t>ㅇ심판간식비</t>
    </r>
    <r>
      <rPr>
        <sz val="10"/>
        <rFont val="돋움"/>
        <family val="3"/>
        <charset val="129"/>
      </rPr>
      <t>(3차)</t>
    </r>
    <phoneticPr fontId="2" type="noConversion"/>
  </si>
  <si>
    <t>ㅇ심판숙박비(2차)</t>
    <phoneticPr fontId="2" type="noConversion"/>
  </si>
  <si>
    <r>
      <rPr>
        <sz val="10"/>
        <color indexed="9"/>
        <rFont val="돋움"/>
        <family val="3"/>
        <charset val="129"/>
      </rPr>
      <t>ㅇ심판숙박비</t>
    </r>
    <r>
      <rPr>
        <sz val="10"/>
        <rFont val="돋움"/>
        <family val="3"/>
        <charset val="129"/>
      </rPr>
      <t>(3차)</t>
    </r>
    <phoneticPr fontId="2" type="noConversion"/>
  </si>
  <si>
    <r>
      <rPr>
        <sz val="10"/>
        <color indexed="9"/>
        <rFont val="돋움"/>
        <family val="3"/>
        <charset val="129"/>
      </rPr>
      <t>ㅇ심판식대</t>
    </r>
    <r>
      <rPr>
        <sz val="10"/>
        <rFont val="돋움"/>
        <family val="3"/>
        <charset val="129"/>
      </rPr>
      <t>(3차)</t>
    </r>
    <phoneticPr fontId="2" type="noConversion"/>
  </si>
  <si>
    <t>400,000원X2회=</t>
    <phoneticPr fontId="2" type="noConversion"/>
  </si>
  <si>
    <t>ㅇ심판특식비(2/3차)</t>
    <phoneticPr fontId="2" type="noConversion"/>
  </si>
  <si>
    <t>2,000,000원X2회=</t>
    <phoneticPr fontId="2" type="noConversion"/>
  </si>
  <si>
    <t>평가전</t>
    <phoneticPr fontId="2" type="noConversion"/>
  </si>
  <si>
    <t>1,000,000원X3일=</t>
    <phoneticPr fontId="2" type="noConversion"/>
  </si>
  <si>
    <t>30,000원X27명X3일=</t>
    <phoneticPr fontId="2" type="noConversion"/>
  </si>
  <si>
    <t>3,000원X27명X3일=</t>
    <phoneticPr fontId="2" type="noConversion"/>
  </si>
  <si>
    <t>10,000원X27명X3일=</t>
    <phoneticPr fontId="2" type="noConversion"/>
  </si>
  <si>
    <t>ㅇ임원여비및활동비</t>
    <phoneticPr fontId="2" type="noConversion"/>
  </si>
  <si>
    <t>360,000원X2회=</t>
    <phoneticPr fontId="2" type="noConversion"/>
  </si>
  <si>
    <t>유니버시아드대표</t>
    <phoneticPr fontId="2" type="noConversion"/>
  </si>
  <si>
    <t>1,000,000원X4일=</t>
    <phoneticPr fontId="2" type="noConversion"/>
  </si>
  <si>
    <t>ㅇ간심판간식비</t>
    <phoneticPr fontId="2" type="noConversion"/>
  </si>
  <si>
    <t>30,000원X27일X4일=</t>
    <phoneticPr fontId="2" type="noConversion"/>
  </si>
  <si>
    <t>10,000원X27명X4일=</t>
    <phoneticPr fontId="2" type="noConversion"/>
  </si>
  <si>
    <t>3,000원X27명X4일=</t>
    <phoneticPr fontId="2" type="noConversion"/>
  </si>
  <si>
    <t>(아시아/세계)</t>
    <phoneticPr fontId="2" type="noConversion"/>
  </si>
  <si>
    <t>30,000원X35명X6일=</t>
    <phoneticPr fontId="2" type="noConversion"/>
  </si>
  <si>
    <t>30,000원X27명X6일=</t>
    <phoneticPr fontId="2" type="noConversion"/>
  </si>
  <si>
    <t>10,000원X35명X6일=</t>
    <phoneticPr fontId="2" type="noConversion"/>
  </si>
  <si>
    <t>10,000원X27명X6일=</t>
    <phoneticPr fontId="2" type="noConversion"/>
  </si>
  <si>
    <t>3,000원X35명X6일=</t>
    <phoneticPr fontId="2" type="noConversion"/>
  </si>
  <si>
    <t>3,000원X27명X6일=</t>
    <phoneticPr fontId="2" type="noConversion"/>
  </si>
  <si>
    <t>1,000,000원X12일=</t>
    <phoneticPr fontId="2" type="noConversion"/>
  </si>
  <si>
    <t>2,200,000원X2회=</t>
    <phoneticPr fontId="2" type="noConversion"/>
  </si>
  <si>
    <t>호프스대표</t>
    <phoneticPr fontId="2" type="noConversion"/>
  </si>
  <si>
    <t>30,000원X35명X3일=</t>
    <phoneticPr fontId="2" type="noConversion"/>
  </si>
  <si>
    <t>10,000원X35명X3일=</t>
    <phoneticPr fontId="2" type="noConversion"/>
  </si>
  <si>
    <t>3,000원X35명X3일=</t>
    <phoneticPr fontId="2" type="noConversion"/>
  </si>
  <si>
    <t>준우승 : 200,000원X10종목=</t>
    <phoneticPr fontId="2" type="noConversion"/>
  </si>
  <si>
    <r>
      <t>우</t>
    </r>
    <r>
      <rPr>
        <sz val="10"/>
        <color indexed="9"/>
        <rFont val="돋움"/>
        <family val="3"/>
        <charset val="129"/>
      </rPr>
      <t>준</t>
    </r>
    <r>
      <rPr>
        <sz val="10"/>
        <rFont val="돋움"/>
        <family val="3"/>
        <charset val="129"/>
      </rPr>
      <t>승 : 300,000원X10종목=</t>
    </r>
    <phoneticPr fontId="2" type="noConversion"/>
  </si>
  <si>
    <r>
      <t>우</t>
    </r>
    <r>
      <rPr>
        <sz val="10"/>
        <color indexed="9"/>
        <rFont val="돋움"/>
        <family val="3"/>
        <charset val="129"/>
      </rPr>
      <t>준</t>
    </r>
    <r>
      <rPr>
        <sz val="10"/>
        <rFont val="돋움"/>
        <family val="3"/>
        <charset val="129"/>
      </rPr>
      <t>승 : 110,000원X10종목=</t>
    </r>
    <phoneticPr fontId="2" type="noConversion"/>
  </si>
  <si>
    <r>
      <t xml:space="preserve">준우승 : 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93,500원X10종목=</t>
    </r>
    <phoneticPr fontId="2" type="noConversion"/>
  </si>
  <si>
    <r>
      <t xml:space="preserve">3위 : 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77,000원X20종목=</t>
    </r>
    <phoneticPr fontId="2" type="noConversion"/>
  </si>
  <si>
    <t>16,500원X120개=</t>
    <phoneticPr fontId="2" type="noConversion"/>
  </si>
  <si>
    <t>ㅇ감사패제작비</t>
    <phoneticPr fontId="2" type="noConversion"/>
  </si>
  <si>
    <t>165,000원X2개=</t>
    <phoneticPr fontId="2" type="noConversion"/>
  </si>
  <si>
    <t>150,000원X15명=</t>
    <phoneticPr fontId="2" type="noConversion"/>
  </si>
  <si>
    <t>7,080원X700부=</t>
    <phoneticPr fontId="2" type="noConversion"/>
  </si>
  <si>
    <t>ㅇ초청장</t>
    <phoneticPr fontId="2" type="noConversion"/>
  </si>
  <si>
    <t>2,200원X200장=</t>
    <phoneticPr fontId="2" type="noConversion"/>
  </si>
  <si>
    <t>ㅇ상장케이스</t>
    <phoneticPr fontId="2" type="noConversion"/>
  </si>
  <si>
    <t>3,630원X100개=</t>
    <phoneticPr fontId="2" type="noConversion"/>
  </si>
  <si>
    <t>ㅇ명패제작비</t>
    <phoneticPr fontId="2" type="noConversion"/>
  </si>
  <si>
    <t>16,500원X40개=</t>
    <phoneticPr fontId="2" type="noConversion"/>
  </si>
  <si>
    <t>ㅇ초등대표팀 체재비 보조</t>
    <phoneticPr fontId="2" type="noConversion"/>
  </si>
  <si>
    <t>500,000원X30팀=</t>
    <phoneticPr fontId="2" type="noConversion"/>
  </si>
  <si>
    <t>(1위: 220,000, 2위: 165,000, 3위: 100,000)</t>
    <phoneticPr fontId="2" type="noConversion"/>
  </si>
  <si>
    <t>우승 -110,000원X10종목=</t>
    <phoneticPr fontId="2" type="noConversion"/>
  </si>
  <si>
    <r>
      <t>준우승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93,500원X10종목=</t>
    </r>
    <phoneticPr fontId="2" type="noConversion"/>
  </si>
  <si>
    <r>
      <t>3위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77,000원X20종목=</t>
    </r>
    <phoneticPr fontId="2" type="noConversion"/>
  </si>
  <si>
    <t>ㅇ종별시상메달</t>
    <phoneticPr fontId="2" type="noConversion"/>
  </si>
  <si>
    <t>11,000원X400부=</t>
    <phoneticPr fontId="2" type="noConversion"/>
  </si>
  <si>
    <t>16,500원X20개=</t>
    <phoneticPr fontId="2" type="noConversion"/>
  </si>
  <si>
    <t>30,000원X17명X4일=</t>
    <phoneticPr fontId="2" type="noConversion"/>
  </si>
  <si>
    <t>15,000원X17명X4일=</t>
    <phoneticPr fontId="2" type="noConversion"/>
  </si>
  <si>
    <t>50,000원X17명=</t>
    <phoneticPr fontId="2" type="noConversion"/>
  </si>
  <si>
    <t>40,000원X9실X4박=</t>
    <phoneticPr fontId="2" type="noConversion"/>
  </si>
  <si>
    <t>4,400원X150부=</t>
    <phoneticPr fontId="2" type="noConversion"/>
  </si>
  <si>
    <t>우승 - 110,000원X 8개=</t>
    <phoneticPr fontId="2" type="noConversion"/>
  </si>
  <si>
    <r>
      <t>준우승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 8개=</t>
    </r>
    <phoneticPr fontId="2" type="noConversion"/>
  </si>
  <si>
    <r>
      <t>3위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77,000원X16개=</t>
    </r>
    <phoneticPr fontId="2" type="noConversion"/>
  </si>
  <si>
    <t>16,500원X32개=</t>
    <phoneticPr fontId="2" type="noConversion"/>
  </si>
  <si>
    <t>30,000원X15명X6일=</t>
    <phoneticPr fontId="2" type="noConversion"/>
  </si>
  <si>
    <t>15,000원X15명X6일=</t>
    <phoneticPr fontId="2" type="noConversion"/>
  </si>
  <si>
    <t>9,020원X500부=</t>
    <phoneticPr fontId="2" type="noConversion"/>
  </si>
  <si>
    <t>ㅇ상장제작비</t>
    <phoneticPr fontId="2" type="noConversion"/>
  </si>
  <si>
    <t>16,500원X30개=</t>
    <phoneticPr fontId="2" type="noConversion"/>
  </si>
  <si>
    <t>40,000원X8실X5박=</t>
    <phoneticPr fontId="2" type="noConversion"/>
  </si>
  <si>
    <t>60,000원X10실X5일=</t>
    <phoneticPr fontId="2" type="noConversion"/>
  </si>
  <si>
    <t>5,140원X150부=</t>
    <phoneticPr fontId="2" type="noConversion"/>
  </si>
  <si>
    <t>우승 - 165,000X2개=</t>
    <phoneticPr fontId="2" type="noConversion"/>
  </si>
  <si>
    <t>준우승 - 143,000X2개=</t>
    <phoneticPr fontId="2" type="noConversion"/>
  </si>
  <si>
    <t>3위 - 110,000X4개=</t>
    <phoneticPr fontId="2" type="noConversion"/>
  </si>
  <si>
    <t>24,200X32개=</t>
    <phoneticPr fontId="2" type="noConversion"/>
  </si>
  <si>
    <t>15,000원X7명X6일=</t>
    <phoneticPr fontId="2" type="noConversion"/>
  </si>
  <si>
    <t>12,840원X300부=</t>
    <phoneticPr fontId="2" type="noConversion"/>
  </si>
  <si>
    <t>ㅇ표지사진구입비</t>
    <phoneticPr fontId="2" type="noConversion"/>
  </si>
  <si>
    <t>ㅇ경품권인쇄</t>
    <phoneticPr fontId="2" type="noConversion"/>
  </si>
  <si>
    <t>360,000원X2회=</t>
    <phoneticPr fontId="2" type="noConversion"/>
  </si>
  <si>
    <t>50,000원X10실X5일=</t>
    <phoneticPr fontId="2" type="noConversion"/>
  </si>
  <si>
    <t>ㅇ월간탁구</t>
    <phoneticPr fontId="2" type="noConversion"/>
  </si>
  <si>
    <t>2,000,000원X12개월=</t>
    <phoneticPr fontId="2" type="noConversion"/>
  </si>
  <si>
    <t>ㅇ심판장비지원비(100분)</t>
    <phoneticPr fontId="2" type="noConversion"/>
  </si>
  <si>
    <t>워크샵</t>
    <phoneticPr fontId="2" type="noConversion"/>
  </si>
  <si>
    <t>ㅇ2008워크샵</t>
    <phoneticPr fontId="2" type="noConversion"/>
  </si>
  <si>
    <t>50,000원X10명X70일=</t>
    <phoneticPr fontId="2" type="noConversion"/>
  </si>
  <si>
    <t>4,000원X24명X70일=</t>
    <phoneticPr fontId="2" type="noConversion"/>
  </si>
  <si>
    <t>4,000원X34명X70일=</t>
    <phoneticPr fontId="2" type="noConversion"/>
  </si>
  <si>
    <t>1,500,000원X4회=</t>
    <phoneticPr fontId="2" type="noConversion"/>
  </si>
  <si>
    <t>ㅇ유니폼마크제작비</t>
    <phoneticPr fontId="2" type="noConversion"/>
  </si>
  <si>
    <t>30,000원X20명X140일=</t>
    <phoneticPr fontId="2" type="noConversion"/>
  </si>
  <si>
    <t>ㅇ선수수당(국고분)</t>
    <phoneticPr fontId="2" type="noConversion"/>
  </si>
  <si>
    <r>
      <rPr>
        <sz val="10"/>
        <color indexed="9"/>
        <rFont val="돋움"/>
        <family val="3"/>
        <charset val="129"/>
      </rPr>
      <t>ㅇ선수수당</t>
    </r>
    <r>
      <rPr>
        <sz val="10"/>
        <rFont val="돋움"/>
        <family val="3"/>
        <charset val="129"/>
      </rPr>
      <t>(자체분)</t>
    </r>
    <phoneticPr fontId="2" type="noConversion"/>
  </si>
  <si>
    <t>30,000원X10명X70일=</t>
    <phoneticPr fontId="2" type="noConversion"/>
  </si>
  <si>
    <t>3,500,000원X1명X6개월=</t>
    <phoneticPr fontId="2" type="noConversion"/>
  </si>
  <si>
    <t>3,300,000원X3명X6개월=</t>
    <phoneticPr fontId="2" type="noConversion"/>
  </si>
  <si>
    <t>ㅇ물리치료사수당</t>
    <phoneticPr fontId="2" type="noConversion"/>
  </si>
  <si>
    <t>ㅇ지도자및물리치료사4대보험료(2008년도)</t>
    <phoneticPr fontId="2" type="noConversion"/>
  </si>
  <si>
    <t>ㅇ지도자및물리치료사4대보험료(2009년도)</t>
    <phoneticPr fontId="2" type="noConversion"/>
  </si>
  <si>
    <t>100,000원X24명=</t>
    <phoneticPr fontId="2" type="noConversion"/>
  </si>
  <si>
    <t>20,000원X13명X10일=</t>
    <phoneticPr fontId="2" type="noConversion"/>
  </si>
  <si>
    <t>4,000원X13명X10일=</t>
    <phoneticPr fontId="2" type="noConversion"/>
  </si>
  <si>
    <t>숙박비</t>
    <phoneticPr fontId="2" type="noConversion"/>
  </si>
  <si>
    <t>40,000원X7실X9박=</t>
    <phoneticPr fontId="2" type="noConversion"/>
  </si>
  <si>
    <t>1,000,000원X3명=</t>
    <phoneticPr fontId="2" type="noConversion"/>
  </si>
  <si>
    <t>30,000원X13명X1회=</t>
    <phoneticPr fontId="2" type="noConversion"/>
  </si>
  <si>
    <t>400,000원X13명=</t>
    <phoneticPr fontId="2" type="noConversion"/>
  </si>
  <si>
    <t>$120X3명X5박X1,350원=</t>
    <phoneticPr fontId="2" type="noConversion"/>
  </si>
  <si>
    <t>$10X13명X6일X1,350원=</t>
    <phoneticPr fontId="2" type="noConversion"/>
  </si>
  <si>
    <t>꿈나무상비군</t>
    <phoneticPr fontId="2" type="noConversion"/>
  </si>
  <si>
    <t>중국전지훈련</t>
    <phoneticPr fontId="2" type="noConversion"/>
  </si>
  <si>
    <t>ㅇ항공료</t>
  </si>
  <si>
    <t>404,300원X 3명=</t>
  </si>
  <si>
    <t>356,800원X16명=</t>
  </si>
  <si>
    <t>ㅇ체재비</t>
  </si>
  <si>
    <t>$55X19명X10일X1,300원=</t>
  </si>
  <si>
    <t>ㅇ현지픽업비용</t>
  </si>
  <si>
    <t>422,000원X2회=</t>
  </si>
  <si>
    <t>ㅇ간식비</t>
  </si>
  <si>
    <t>$10X19명X11일X1,300원=</t>
  </si>
  <si>
    <t>ㅇ지도자수당</t>
  </si>
  <si>
    <t>1,000,000원X3명=</t>
  </si>
  <si>
    <t>ㅇ비자발급비</t>
  </si>
  <si>
    <t>21,000원X19명=</t>
  </si>
  <si>
    <t>ㅇ파카 구입비</t>
  </si>
  <si>
    <t>65,000원X19명=</t>
  </si>
  <si>
    <t>ㅇ마크제작비</t>
  </si>
  <si>
    <t>5,500원X3장X19명=</t>
  </si>
  <si>
    <t>(중국,칭다오)</t>
    <phoneticPr fontId="2" type="noConversion"/>
  </si>
  <si>
    <r>
      <rPr>
        <sz val="10"/>
        <color indexed="9"/>
        <rFont val="돋움"/>
        <family val="3"/>
        <charset val="129"/>
      </rPr>
      <t>ㅇ임원단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</si>
  <si>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rPr>
        <sz val="10"/>
        <color indexed="9"/>
        <rFont val="돋움"/>
        <family val="3"/>
        <charset val="129"/>
      </rPr>
      <t>ㅇ선수단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</si>
  <si>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rPr>
        <sz val="10"/>
        <color indexed="9"/>
        <rFont val="돋움"/>
        <family val="3"/>
        <charset val="129"/>
      </rPr>
      <t>ㅇ선수단</t>
    </r>
    <r>
      <rPr>
        <sz val="10"/>
        <rFont val="돋움"/>
        <family val="3"/>
        <charset val="129"/>
      </rPr>
      <t xml:space="preserve"> - 개최국 지원</t>
    </r>
    <phoneticPr fontId="2" type="noConversion"/>
  </si>
  <si>
    <r>
      <t>코치 :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4명X11박X1,740원=</t>
    </r>
    <phoneticPr fontId="2" type="noConversion"/>
  </si>
  <si>
    <r>
      <t xml:space="preserve">              물리치료사 : 180유로X</t>
    </r>
    <r>
      <rPr>
        <sz val="8"/>
        <color indexed="9"/>
        <rFont val="돋움"/>
        <family val="3"/>
        <charset val="129"/>
      </rPr>
      <t>1</t>
    </r>
    <r>
      <rPr>
        <sz val="8"/>
        <rFont val="돋움"/>
        <family val="3"/>
        <charset val="129"/>
      </rPr>
      <t>1명X11박X1,740원=</t>
    </r>
    <phoneticPr fontId="2" type="noConversion"/>
  </si>
  <si>
    <t>2,343,100원X16명=</t>
    <phoneticPr fontId="2" type="noConversion"/>
  </si>
  <si>
    <t>120유로X6명X13박X1,740원=</t>
    <phoneticPr fontId="2" type="noConversion"/>
  </si>
  <si>
    <t>$10X16명X14일X1,350원=</t>
    <phoneticPr fontId="2" type="noConversion"/>
  </si>
  <si>
    <t>2,000,000원X7개월=</t>
    <phoneticPr fontId="2" type="noConversion"/>
  </si>
  <si>
    <t>유니버시아드</t>
    <phoneticPr fontId="2" type="noConversion"/>
  </si>
  <si>
    <t>ㅇ급식비</t>
    <phoneticPr fontId="2" type="noConversion"/>
  </si>
  <si>
    <t>ㅇ용구구입비</t>
    <phoneticPr fontId="2" type="noConversion"/>
  </si>
  <si>
    <t>30,000원X13명=</t>
    <phoneticPr fontId="2" type="noConversion"/>
  </si>
  <si>
    <t>ㅇ교통비</t>
  </si>
  <si>
    <t>20,000원X15명X20일=</t>
    <phoneticPr fontId="2" type="noConversion"/>
  </si>
  <si>
    <t>4,000원X15명X20일=</t>
    <phoneticPr fontId="2" type="noConversion"/>
  </si>
  <si>
    <t>500,000원X4회=</t>
    <phoneticPr fontId="2" type="noConversion"/>
  </si>
  <si>
    <t>ㅇ숙박비</t>
    <phoneticPr fontId="2" type="noConversion"/>
  </si>
  <si>
    <t>40,000원X8실X18박=</t>
    <phoneticPr fontId="2" type="noConversion"/>
  </si>
  <si>
    <t>1,000,000원X3명X2회=</t>
    <phoneticPr fontId="2" type="noConversion"/>
  </si>
  <si>
    <t>30,000원X15명X2회=</t>
    <phoneticPr fontId="2" type="noConversion"/>
  </si>
  <si>
    <t>20,000원X35명X40일=</t>
    <phoneticPr fontId="2" type="noConversion"/>
  </si>
  <si>
    <t>4,000원X35명X40일=</t>
    <phoneticPr fontId="2" type="noConversion"/>
  </si>
  <si>
    <t>1,000,000원X4회=</t>
    <phoneticPr fontId="2" type="noConversion"/>
  </si>
  <si>
    <t>40,000원X18실X36박=</t>
    <phoneticPr fontId="2" type="noConversion"/>
  </si>
  <si>
    <t>1,500,000원X1명X4회=</t>
    <phoneticPr fontId="2" type="noConversion"/>
  </si>
  <si>
    <t>1,000,000원X4명X4회=</t>
    <phoneticPr fontId="2" type="noConversion"/>
  </si>
  <si>
    <t>ㅇ교통비</t>
    <phoneticPr fontId="2" type="noConversion"/>
  </si>
  <si>
    <t>30,000원X35명X4회=</t>
    <phoneticPr fontId="2" type="noConversion"/>
  </si>
  <si>
    <t>380,000원X13명=</t>
    <phoneticPr fontId="2" type="noConversion"/>
  </si>
  <si>
    <t>$60X13명X13박X1,350원=</t>
    <phoneticPr fontId="2" type="noConversion"/>
  </si>
  <si>
    <t>$10X13명X14일X1,350원=</t>
    <phoneticPr fontId="2" type="noConversion"/>
  </si>
  <si>
    <t>ㅇ여행자보험료</t>
    <phoneticPr fontId="2" type="noConversion"/>
  </si>
  <si>
    <t>10,000원X13명=</t>
    <phoneticPr fontId="2" type="noConversion"/>
  </si>
  <si>
    <t>(임원,기자,국제심판)            582,250원X19명=</t>
    <phoneticPr fontId="2" type="noConversion"/>
  </si>
  <si>
    <t>40,000원X18일X4박=</t>
    <phoneticPr fontId="2" type="noConversion"/>
  </si>
  <si>
    <t>40,000원X16실X5박=</t>
    <phoneticPr fontId="2" type="noConversion"/>
  </si>
  <si>
    <t>50,000원X8실X4박X2회=</t>
    <phoneticPr fontId="2" type="noConversion"/>
  </si>
  <si>
    <t>50,000원X4실X3박=</t>
    <phoneticPr fontId="2" type="noConversion"/>
  </si>
  <si>
    <t>50,000원X4실X4박=</t>
    <phoneticPr fontId="2" type="noConversion"/>
  </si>
  <si>
    <t>50,000원X4실X6박X2회=</t>
    <phoneticPr fontId="2" type="noConversion"/>
  </si>
  <si>
    <t>40,000원X8실X7박=</t>
    <phoneticPr fontId="2" type="noConversion"/>
  </si>
  <si>
    <t>50,000원X10실X7박=</t>
    <phoneticPr fontId="2" type="noConversion"/>
  </si>
  <si>
    <t>40,000원X10실X6박=</t>
    <phoneticPr fontId="2" type="noConversion"/>
  </si>
  <si>
    <t>60,000원X10실X4박=</t>
    <phoneticPr fontId="2" type="noConversion"/>
  </si>
  <si>
    <t>40,000원X8실X6박=</t>
    <phoneticPr fontId="2" type="noConversion"/>
  </si>
  <si>
    <t>50,000원X10실X6박=</t>
    <phoneticPr fontId="2" type="noConversion"/>
  </si>
  <si>
    <t>50,000원X4실X5박=</t>
    <phoneticPr fontId="2" type="noConversion"/>
  </si>
  <si>
    <t>1,000,000원X12개월=</t>
    <phoneticPr fontId="2" type="noConversion"/>
  </si>
  <si>
    <t>$122,000X1,350원=</t>
    <phoneticPr fontId="2" type="noConversion"/>
  </si>
  <si>
    <t>198,000원X6개=</t>
    <phoneticPr fontId="2" type="noConversion"/>
  </si>
  <si>
    <t>ㅇ한국선수단   (체재비)</t>
    <phoneticPr fontId="2" type="noConversion"/>
  </si>
  <si>
    <t>100,000원X25명X5박=</t>
    <phoneticPr fontId="2" type="noConversion"/>
  </si>
  <si>
    <t>4,000원X25명X5일=</t>
    <phoneticPr fontId="2" type="noConversion"/>
  </si>
  <si>
    <t xml:space="preserve">                    (특식비)</t>
    <phoneticPr fontId="2" type="noConversion"/>
  </si>
  <si>
    <t>30,000원X50명X5일=</t>
    <phoneticPr fontId="2" type="noConversion"/>
  </si>
  <si>
    <t>15,000원X50명X5일=</t>
    <phoneticPr fontId="2" type="noConversion"/>
  </si>
  <si>
    <t>ㅇ심판여비</t>
    <phoneticPr fontId="2" type="noConversion"/>
  </si>
  <si>
    <t>50,000원X50명=</t>
    <phoneticPr fontId="2" type="noConversion"/>
  </si>
  <si>
    <t>ㅇ심판숙박</t>
    <phoneticPr fontId="2" type="noConversion"/>
  </si>
  <si>
    <t>40,000원X25실X5일=</t>
    <phoneticPr fontId="2" type="noConversion"/>
  </si>
  <si>
    <t>ㅇ외국국제심판수당</t>
    <phoneticPr fontId="2" type="noConversion"/>
  </si>
  <si>
    <t>$20X5명X5일X1,350원=</t>
    <phoneticPr fontId="2" type="noConversion"/>
  </si>
  <si>
    <t>120,000원X5일X5박=</t>
    <phoneticPr fontId="2" type="noConversion"/>
  </si>
  <si>
    <t>ㅇ레프리.감독관체재비</t>
    <phoneticPr fontId="2" type="noConversion"/>
  </si>
  <si>
    <t>120,000원X3실X5일=</t>
    <phoneticPr fontId="2" type="noConversion"/>
  </si>
  <si>
    <t>ㅇ레프리항공료</t>
    <phoneticPr fontId="2" type="noConversion"/>
  </si>
  <si>
    <t>$400X1,350원=</t>
    <phoneticPr fontId="2" type="noConversion"/>
  </si>
  <si>
    <t>ㅇ레프리.감독관활동비</t>
    <phoneticPr fontId="2" type="noConversion"/>
  </si>
  <si>
    <t>$500X3명X1,350원=</t>
    <phoneticPr fontId="2" type="noConversion"/>
  </si>
  <si>
    <t>3,170원X300부=</t>
    <phoneticPr fontId="2" type="noConversion"/>
  </si>
  <si>
    <t>7,260원X500부=</t>
    <phoneticPr fontId="2" type="noConversion"/>
  </si>
  <si>
    <t>ㅇ포스터제작비</t>
    <phoneticPr fontId="2" type="noConversion"/>
  </si>
  <si>
    <t>4,950원X400부=</t>
    <phoneticPr fontId="2" type="noConversion"/>
  </si>
  <si>
    <t>ㅇ표지및포스터사진</t>
    <phoneticPr fontId="2" type="noConversion"/>
  </si>
  <si>
    <t>ㅇID카드</t>
    <phoneticPr fontId="2" type="noConversion"/>
  </si>
  <si>
    <t>1,400원X550부=</t>
    <phoneticPr fontId="2" type="noConversion"/>
  </si>
  <si>
    <t>ㅇ시상금 및 공항티켓</t>
    <phoneticPr fontId="2" type="noConversion"/>
  </si>
  <si>
    <t>82,500원X8개=</t>
    <phoneticPr fontId="2" type="noConversion"/>
  </si>
  <si>
    <t>ㅇ오다지</t>
    <phoneticPr fontId="2" type="noConversion"/>
  </si>
  <si>
    <t>2,120원X400장=</t>
    <phoneticPr fontId="2" type="noConversion"/>
  </si>
  <si>
    <t>ㅇ드로우전지출력</t>
    <phoneticPr fontId="2" type="noConversion"/>
  </si>
  <si>
    <t>ㅇ행사차량 명패</t>
    <phoneticPr fontId="2" type="noConversion"/>
  </si>
  <si>
    <t>ㅇ중계용펜스제작비</t>
    <phoneticPr fontId="2" type="noConversion"/>
  </si>
  <si>
    <t>ㅇ펜스로고</t>
    <phoneticPr fontId="2" type="noConversion"/>
  </si>
  <si>
    <t>ㅇ펜스제작비</t>
    <phoneticPr fontId="2" type="noConversion"/>
  </si>
  <si>
    <t>55,000원X200개=</t>
    <phoneticPr fontId="2" type="noConversion"/>
  </si>
  <si>
    <t>100,000원X30명=</t>
    <phoneticPr fontId="2" type="noConversion"/>
  </si>
  <si>
    <t>5,000원X12식X30명=</t>
    <phoneticPr fontId="2" type="noConversion"/>
  </si>
  <si>
    <t>40,000원X15실X5일=</t>
    <phoneticPr fontId="2" type="noConversion"/>
  </si>
  <si>
    <t>400,000원X5일X3명=</t>
    <phoneticPr fontId="2" type="noConversion"/>
  </si>
  <si>
    <t>50,000원X5실X4박=</t>
    <phoneticPr fontId="2" type="noConversion"/>
  </si>
  <si>
    <t>섭외비</t>
    <phoneticPr fontId="2" type="noConversion"/>
  </si>
  <si>
    <t>ㅇ선물구입비</t>
    <phoneticPr fontId="2" type="noConversion"/>
  </si>
  <si>
    <t>급여비</t>
    <phoneticPr fontId="2" type="noConversion"/>
  </si>
  <si>
    <t>기본급</t>
    <phoneticPr fontId="2" type="noConversion"/>
  </si>
  <si>
    <t>ㅇ사무차장</t>
    <phoneticPr fontId="2" type="noConversion"/>
  </si>
  <si>
    <t>ㅇ과      장</t>
    <phoneticPr fontId="2" type="noConversion"/>
  </si>
  <si>
    <t>ㅇ대      리</t>
    <phoneticPr fontId="2" type="noConversion"/>
  </si>
  <si>
    <t>ㅇ직      원</t>
    <phoneticPr fontId="2" type="noConversion"/>
  </si>
  <si>
    <t>직무수당</t>
    <phoneticPr fontId="2" type="noConversion"/>
  </si>
  <si>
    <t>경력수당</t>
    <phoneticPr fontId="2" type="noConversion"/>
  </si>
  <si>
    <t>시간외근로수당</t>
    <phoneticPr fontId="2" type="noConversion"/>
  </si>
  <si>
    <t>중식비</t>
    <phoneticPr fontId="2" type="noConversion"/>
  </si>
  <si>
    <t xml:space="preserve">ㅇ중식비 </t>
    <phoneticPr fontId="2" type="noConversion"/>
  </si>
  <si>
    <t>통근비</t>
    <phoneticPr fontId="2" type="noConversion"/>
  </si>
  <si>
    <t>ㅇ통근비</t>
    <phoneticPr fontId="2" type="noConversion"/>
  </si>
  <si>
    <t>차량유지비</t>
    <phoneticPr fontId="2" type="noConversion"/>
  </si>
  <si>
    <t>ㅇ차량유지비</t>
    <phoneticPr fontId="2" type="noConversion"/>
  </si>
  <si>
    <t>복리후생비</t>
    <phoneticPr fontId="2" type="noConversion"/>
  </si>
  <si>
    <t>국민연금</t>
    <phoneticPr fontId="2" type="noConversion"/>
  </si>
  <si>
    <t>ㅇ국민연금</t>
    <phoneticPr fontId="2" type="noConversion"/>
  </si>
  <si>
    <t>의료보험료</t>
    <phoneticPr fontId="2" type="noConversion"/>
  </si>
  <si>
    <t>ㅇ의료보험</t>
    <phoneticPr fontId="2" type="noConversion"/>
  </si>
  <si>
    <t>고용/산재보험료</t>
    <phoneticPr fontId="2" type="noConversion"/>
  </si>
  <si>
    <t>ㅇ'07확정/'08개산 고용,산재보험</t>
    <phoneticPr fontId="2" type="noConversion"/>
  </si>
  <si>
    <t>퇴직금적립</t>
    <phoneticPr fontId="2" type="noConversion"/>
  </si>
  <si>
    <t>ㅇ퇴직금적립</t>
    <phoneticPr fontId="2" type="noConversion"/>
  </si>
  <si>
    <t>연수회비</t>
    <phoneticPr fontId="2" type="noConversion"/>
  </si>
  <si>
    <t>ㅇ직원연수회비</t>
    <phoneticPr fontId="2" type="noConversion"/>
  </si>
  <si>
    <t>220,000원X4명X12월=</t>
    <phoneticPr fontId="2" type="noConversion"/>
  </si>
  <si>
    <t>110,000원X1명X12월=</t>
    <phoneticPr fontId="2" type="noConversion"/>
  </si>
  <si>
    <t>110,000원X5명X12월=</t>
    <phoneticPr fontId="2" type="noConversion"/>
  </si>
  <si>
    <t>1,191,467원X12월=</t>
    <phoneticPr fontId="2" type="noConversion"/>
  </si>
  <si>
    <t>611,159원X12월=</t>
    <phoneticPr fontId="2" type="noConversion"/>
  </si>
  <si>
    <t>1,417,677원X12월=</t>
    <phoneticPr fontId="2" type="noConversion"/>
  </si>
  <si>
    <t>885,041원X12월=</t>
    <phoneticPr fontId="2" type="noConversion"/>
  </si>
  <si>
    <t>815,329원X12월=</t>
    <phoneticPr fontId="2" type="noConversion"/>
  </si>
  <si>
    <t>515,331원X12월=</t>
    <phoneticPr fontId="2" type="noConversion"/>
  </si>
  <si>
    <t>446,012원X12월=</t>
    <phoneticPr fontId="2" type="noConversion"/>
  </si>
  <si>
    <t>397,039원X12월=</t>
    <phoneticPr fontId="2" type="noConversion"/>
  </si>
  <si>
    <t>1,466,781원X12월=</t>
    <phoneticPr fontId="2" type="noConversion"/>
  </si>
  <si>
    <t>1,104,280원X12월=</t>
    <phoneticPr fontId="2" type="noConversion"/>
  </si>
  <si>
    <t>433,623원X12월=</t>
    <phoneticPr fontId="2" type="noConversion"/>
  </si>
  <si>
    <t>186,112원X12월=</t>
    <phoneticPr fontId="2" type="noConversion"/>
  </si>
  <si>
    <t>415,799원X12월=</t>
    <phoneticPr fontId="2" type="noConversion"/>
  </si>
  <si>
    <t>229,990원X12월=</t>
    <phoneticPr fontId="2" type="noConversion"/>
  </si>
  <si>
    <t>177,269원X12월=</t>
    <phoneticPr fontId="2" type="noConversion"/>
  </si>
  <si>
    <t>342,256원X12월=</t>
    <phoneticPr fontId="2" type="noConversion"/>
  </si>
  <si>
    <t>학자금보조</t>
    <phoneticPr fontId="2" type="noConversion"/>
  </si>
  <si>
    <t>ㅇ학자금보조</t>
    <phoneticPr fontId="2" type="noConversion"/>
  </si>
  <si>
    <t>500,000원X4분기=</t>
    <phoneticPr fontId="2" type="noConversion"/>
  </si>
  <si>
    <t>2008 결산</t>
    <phoneticPr fontId="2" type="noConversion"/>
  </si>
  <si>
    <t>비고</t>
    <phoneticPr fontId="2" type="noConversion"/>
  </si>
  <si>
    <t>운반보관료</t>
    <phoneticPr fontId="2" type="noConversion"/>
  </si>
  <si>
    <t>상여금</t>
    <phoneticPr fontId="2" type="noConversion"/>
  </si>
  <si>
    <t>아르바이트</t>
    <phoneticPr fontId="2" type="noConversion"/>
  </si>
  <si>
    <t>하계휴가비</t>
    <phoneticPr fontId="2" type="noConversion"/>
  </si>
  <si>
    <t>명절상여금</t>
    <phoneticPr fontId="2" type="noConversion"/>
  </si>
  <si>
    <r>
      <rPr>
        <sz val="10"/>
        <color indexed="9"/>
        <rFont val="돋움"/>
        <family val="3"/>
        <charset val="129"/>
      </rPr>
      <t>ㅇ심판수당</t>
    </r>
    <r>
      <rPr>
        <sz val="10"/>
        <rFont val="돋움"/>
        <family val="3"/>
        <charset val="129"/>
      </rPr>
      <t>(3차)</t>
    </r>
    <phoneticPr fontId="2" type="noConversion"/>
  </si>
  <si>
    <t>불우이웃</t>
    <phoneticPr fontId="2" type="noConversion"/>
  </si>
  <si>
    <t>자선탁구축제</t>
    <phoneticPr fontId="2" type="noConversion"/>
  </si>
  <si>
    <t>ㅇ등명찰제작비</t>
    <phoneticPr fontId="2" type="noConversion"/>
  </si>
  <si>
    <t>660원X370개=</t>
    <phoneticPr fontId="2" type="noConversion"/>
  </si>
  <si>
    <t>ㅇ심판진(식사비)</t>
    <phoneticPr fontId="2" type="noConversion"/>
  </si>
  <si>
    <t>ㅇ상장케이스 제작비</t>
    <phoneticPr fontId="2" type="noConversion"/>
  </si>
  <si>
    <t>ㅇ급식비</t>
    <phoneticPr fontId="2" type="noConversion"/>
  </si>
  <si>
    <t>ㅇ식음료대</t>
    <phoneticPr fontId="2" type="noConversion"/>
  </si>
  <si>
    <t>ㅇ파이텍스</t>
    <phoneticPr fontId="2" type="noConversion"/>
  </si>
  <si>
    <t>ㅇ음향시스템</t>
    <phoneticPr fontId="2" type="noConversion"/>
  </si>
  <si>
    <t>ㅇ렌탈비용</t>
    <phoneticPr fontId="2" type="noConversion"/>
  </si>
  <si>
    <t>ㅇ문구구입</t>
    <phoneticPr fontId="2" type="noConversion"/>
  </si>
  <si>
    <t>ㅇ토너구입비</t>
    <phoneticPr fontId="2" type="noConversion"/>
  </si>
  <si>
    <t>ㅇ교통비 및 활동비</t>
    <phoneticPr fontId="2" type="noConversion"/>
  </si>
  <si>
    <t>ㅇ운임비</t>
    <phoneticPr fontId="2" type="noConversion"/>
  </si>
  <si>
    <t>ㅇ츄리닝 구입비</t>
    <phoneticPr fontId="2" type="noConversion"/>
  </si>
  <si>
    <t>ㅇ홈페이지 연계 작업</t>
    <phoneticPr fontId="2" type="noConversion"/>
  </si>
  <si>
    <t>급식비</t>
    <phoneticPr fontId="2" type="noConversion"/>
  </si>
  <si>
    <t>홍보비</t>
    <phoneticPr fontId="2" type="noConversion"/>
  </si>
  <si>
    <t>인쇄비</t>
    <phoneticPr fontId="2" type="noConversion"/>
  </si>
  <si>
    <t>촌외훈련비</t>
    <phoneticPr fontId="2" type="noConversion"/>
  </si>
  <si>
    <t>싱가폴오픈</t>
    <phoneticPr fontId="2" type="noConversion"/>
  </si>
  <si>
    <t>(싱가폴)</t>
    <phoneticPr fontId="2" type="noConversion"/>
  </si>
  <si>
    <t>브라질.칠레</t>
    <phoneticPr fontId="2" type="noConversion"/>
  </si>
  <si>
    <t>(브라질.칠레)</t>
    <phoneticPr fontId="2" type="noConversion"/>
  </si>
  <si>
    <t>임차료</t>
    <phoneticPr fontId="2" type="noConversion"/>
  </si>
  <si>
    <t>부식비</t>
    <phoneticPr fontId="2" type="noConversion"/>
  </si>
  <si>
    <t>통역비</t>
    <phoneticPr fontId="2" type="noConversion"/>
  </si>
  <si>
    <t>일비/간식비</t>
    <phoneticPr fontId="2" type="noConversion"/>
  </si>
  <si>
    <t>주차비</t>
    <phoneticPr fontId="2" type="noConversion"/>
  </si>
  <si>
    <t>주니어전지훈련</t>
    <phoneticPr fontId="2" type="noConversion"/>
  </si>
  <si>
    <t>(일본/기츠키)</t>
    <phoneticPr fontId="2" type="noConversion"/>
  </si>
  <si>
    <t>서일본대회</t>
    <phoneticPr fontId="2" type="noConversion"/>
  </si>
  <si>
    <t>아시아유소년</t>
    <phoneticPr fontId="2" type="noConversion"/>
  </si>
  <si>
    <t>베이징사전답사</t>
    <phoneticPr fontId="2" type="noConversion"/>
  </si>
  <si>
    <t>등록비반환</t>
    <phoneticPr fontId="2" type="noConversion"/>
  </si>
  <si>
    <t>전기이월금</t>
    <phoneticPr fontId="2" type="noConversion"/>
  </si>
  <si>
    <t>차기이월금</t>
    <phoneticPr fontId="2" type="noConversion"/>
  </si>
  <si>
    <t>특별비</t>
    <phoneticPr fontId="2" type="noConversion"/>
  </si>
  <si>
    <t>예산대비 증감</t>
    <phoneticPr fontId="2" type="noConversion"/>
  </si>
  <si>
    <t>계</t>
    <phoneticPr fontId="2" type="noConversion"/>
  </si>
  <si>
    <t>소계</t>
    <phoneticPr fontId="2" type="noConversion"/>
  </si>
  <si>
    <t>퇴직충당금</t>
    <phoneticPr fontId="2" type="noConversion"/>
  </si>
  <si>
    <t>수수료</t>
    <phoneticPr fontId="2" type="noConversion"/>
  </si>
  <si>
    <t xml:space="preserve">                                                                                                                                                     </t>
    <phoneticPr fontId="2" type="noConversion"/>
  </si>
  <si>
    <t xml:space="preserve"> 수입 예산서</t>
    <phoneticPr fontId="2" type="noConversion"/>
  </si>
  <si>
    <t xml:space="preserve"> 예산</t>
    <phoneticPr fontId="2" type="noConversion"/>
  </si>
  <si>
    <t xml:space="preserve"> 결산</t>
    <phoneticPr fontId="2" type="noConversion"/>
  </si>
  <si>
    <t>(2015.01.01~2015.12.31)</t>
    <phoneticPr fontId="2" type="noConversion"/>
  </si>
  <si>
    <t>전문스포츠지도자검정료</t>
    <phoneticPr fontId="2" type="noConversion"/>
  </si>
  <si>
    <t>격려비</t>
    <phoneticPr fontId="2" type="noConversion"/>
  </si>
  <si>
    <t>=</t>
    <phoneticPr fontId="2" type="noConversion"/>
  </si>
  <si>
    <t>국외정보수집사업</t>
    <phoneticPr fontId="2" type="noConversion"/>
  </si>
  <si>
    <t>아시안게임일비</t>
    <phoneticPr fontId="2" type="noConversion"/>
  </si>
  <si>
    <t>일비</t>
    <phoneticPr fontId="2" type="noConversion"/>
  </si>
  <si>
    <t>광주유니버시아드대표일비</t>
    <phoneticPr fontId="2" type="noConversion"/>
  </si>
  <si>
    <t>광주유니버시아드 메달포상금</t>
    <phoneticPr fontId="2" type="noConversion"/>
  </si>
  <si>
    <t>여자국가대표촌외훈련</t>
    <phoneticPr fontId="2" type="noConversion"/>
  </si>
  <si>
    <t>검정료</t>
    <phoneticPr fontId="2" type="noConversion"/>
  </si>
  <si>
    <t>자격 검정료</t>
    <phoneticPr fontId="2" type="noConversion"/>
  </si>
  <si>
    <t>남자국가대표촌외훈련</t>
    <phoneticPr fontId="2" type="noConversion"/>
  </si>
  <si>
    <t>50만*9월 수당</t>
    <phoneticPr fontId="2" type="noConversion"/>
  </si>
  <si>
    <t>청소년육성사업비</t>
    <phoneticPr fontId="2" type="noConversion"/>
  </si>
  <si>
    <t>촌외훈련</t>
    <phoneticPr fontId="2" type="noConversion"/>
  </si>
  <si>
    <t>제20회 세계남자주니어대회</t>
    <phoneticPr fontId="2" type="noConversion"/>
  </si>
  <si>
    <t>경기력향상지원비</t>
    <phoneticPr fontId="2" type="noConversion"/>
  </si>
  <si>
    <t>대회지원금</t>
    <phoneticPr fontId="2" type="noConversion"/>
  </si>
  <si>
    <t>제13회 아시아여자주니어대회</t>
    <phoneticPr fontId="2" type="noConversion"/>
  </si>
  <si>
    <t>제6회 세계남자청소년대회</t>
    <phoneticPr fontId="2" type="noConversion"/>
  </si>
  <si>
    <t>제6회 아시아여자청소년대회</t>
    <phoneticPr fontId="2" type="noConversion"/>
  </si>
  <si>
    <t>남자올림픽아시아예선대회</t>
    <phoneticPr fontId="2" type="noConversion"/>
  </si>
  <si>
    <t>인건비</t>
    <phoneticPr fontId="2" type="noConversion"/>
  </si>
  <si>
    <t>급여</t>
    <phoneticPr fontId="2" type="noConversion"/>
  </si>
  <si>
    <t>인건행정비</t>
    <phoneticPr fontId="2" type="noConversion"/>
  </si>
  <si>
    <t>국가대표지도자(감독 코치)</t>
    <phoneticPr fontId="2" type="noConversion"/>
  </si>
  <si>
    <t>감독코치수당</t>
    <phoneticPr fontId="2" type="noConversion"/>
  </si>
  <si>
    <t>국가대표선수수당</t>
    <phoneticPr fontId="2" type="noConversion"/>
  </si>
  <si>
    <t>선수수당</t>
    <phoneticPr fontId="2" type="noConversion"/>
  </si>
  <si>
    <t>트레이너수당</t>
    <phoneticPr fontId="2" type="noConversion"/>
  </si>
  <si>
    <t>연말상여금</t>
    <phoneticPr fontId="2" type="noConversion"/>
  </si>
  <si>
    <t>퇴직금</t>
    <phoneticPr fontId="2" type="noConversion"/>
  </si>
  <si>
    <t>올림픽제패기념서울국제대회</t>
    <phoneticPr fontId="2" type="noConversion"/>
  </si>
  <si>
    <t>국제대회유치</t>
    <phoneticPr fontId="2" type="noConversion"/>
  </si>
  <si>
    <t>국제대회유치금</t>
    <phoneticPr fontId="2" type="noConversion"/>
  </si>
  <si>
    <t>제22회 세계여자선수권대회</t>
    <phoneticPr fontId="2" type="noConversion"/>
  </si>
  <si>
    <t>항공료지원비</t>
    <phoneticPr fontId="2" type="noConversion"/>
  </si>
  <si>
    <t>국제전문인력일비반납</t>
    <phoneticPr fontId="2" type="noConversion"/>
  </si>
  <si>
    <t>지원금</t>
    <phoneticPr fontId="2" type="noConversion"/>
  </si>
  <si>
    <t>리우올림픽예선전(여)</t>
    <phoneticPr fontId="16" type="noConversion"/>
  </si>
  <si>
    <t>제12회동아시아클럽대회</t>
    <phoneticPr fontId="2" type="noConversion"/>
  </si>
  <si>
    <t>제44회전국소년체육대회(제주)</t>
    <phoneticPr fontId="2" type="noConversion"/>
  </si>
  <si>
    <t>한일스포츠교류(U-16남)</t>
    <phoneticPr fontId="2" type="noConversion"/>
  </si>
  <si>
    <t>한일스포츠교류(U-16 여)</t>
    <phoneticPr fontId="2" type="noConversion"/>
  </si>
  <si>
    <t>한일슈퍼매치</t>
    <phoneticPr fontId="2" type="noConversion"/>
  </si>
  <si>
    <t>후보선수(청소년)동계합숙훈련</t>
    <phoneticPr fontId="2" type="noConversion"/>
  </si>
  <si>
    <t>훈련지원금</t>
    <phoneticPr fontId="2" type="noConversion"/>
  </si>
  <si>
    <t>후보선수(청소년)하계합숙훈련</t>
    <phoneticPr fontId="2" type="noConversion"/>
  </si>
  <si>
    <t>남자대표국외전지훈련</t>
    <phoneticPr fontId="2" type="noConversion"/>
  </si>
  <si>
    <t>여자대표국외전지훈련</t>
    <phoneticPr fontId="2" type="noConversion"/>
  </si>
  <si>
    <t>꿈나무측정평가및관리지원</t>
    <phoneticPr fontId="2" type="noConversion"/>
  </si>
  <si>
    <t>꿈나무순회지도</t>
    <phoneticPr fontId="2" type="noConversion"/>
  </si>
  <si>
    <t>순회지도 지원금</t>
    <phoneticPr fontId="2" type="noConversion"/>
  </si>
  <si>
    <t>꿈나무육성전담지도자지원</t>
    <phoneticPr fontId="2" type="noConversion"/>
  </si>
  <si>
    <t>수당(50만*9월)</t>
    <phoneticPr fontId="2" type="noConversion"/>
  </si>
  <si>
    <t>꿈나무하계합숙훈련</t>
    <phoneticPr fontId="2" type="noConversion"/>
  </si>
  <si>
    <t>꿈나무동계합숙훈련</t>
    <phoneticPr fontId="2" type="noConversion"/>
  </si>
  <si>
    <t>우수청소년육성지원사업</t>
    <phoneticPr fontId="2" type="noConversion"/>
  </si>
  <si>
    <t>우수청소년국외전지훈련</t>
    <phoneticPr fontId="2" type="noConversion"/>
  </si>
  <si>
    <t>IOC올림픽솔리다리티지원</t>
    <phoneticPr fontId="2" type="noConversion"/>
  </si>
  <si>
    <t>광주U-대회지원비</t>
    <phoneticPr fontId="2" type="noConversion"/>
  </si>
  <si>
    <t>국제회의파견지원</t>
    <phoneticPr fontId="2" type="noConversion"/>
  </si>
  <si>
    <t>국외정보수집(숙식비)</t>
    <phoneticPr fontId="2" type="noConversion"/>
  </si>
  <si>
    <t>외국인코치초청사업</t>
    <phoneticPr fontId="2" type="noConversion"/>
  </si>
  <si>
    <t>상임심판수당</t>
    <phoneticPr fontId="2" type="noConversion"/>
  </si>
  <si>
    <t>스포츠외교지원비</t>
    <phoneticPr fontId="2" type="noConversion"/>
  </si>
  <si>
    <t>공익적립금</t>
    <phoneticPr fontId="2" type="noConversion"/>
  </si>
  <si>
    <t xml:space="preserve">국제전문인력 </t>
    <phoneticPr fontId="2" type="noConversion"/>
  </si>
  <si>
    <t>상임심판수당(300만원*9*4개월)</t>
    <phoneticPr fontId="2" type="noConversion"/>
  </si>
  <si>
    <t>종목별상임심판선임교육비지원</t>
    <phoneticPr fontId="2" type="noConversion"/>
  </si>
  <si>
    <t>교육비</t>
    <phoneticPr fontId="2" type="noConversion"/>
  </si>
  <si>
    <t>상임심판교육비</t>
    <phoneticPr fontId="2" type="noConversion"/>
  </si>
  <si>
    <t>상임심판 순회지도</t>
    <phoneticPr fontId="2" type="noConversion"/>
  </si>
  <si>
    <t>평가관리지원</t>
    <phoneticPr fontId="2" type="noConversion"/>
  </si>
  <si>
    <t>평가관리지원비</t>
    <phoneticPr fontId="2" type="noConversion"/>
  </si>
  <si>
    <t>스포츠스타체육교실</t>
    <phoneticPr fontId="2" type="noConversion"/>
  </si>
  <si>
    <t>학교스포츠클럽전국대회</t>
    <phoneticPr fontId="2" type="noConversion"/>
  </si>
  <si>
    <t>대회사용구</t>
    <phoneticPr fontId="2" type="noConversion"/>
  </si>
  <si>
    <t>몰텐공인료</t>
    <phoneticPr fontId="2" type="noConversion"/>
  </si>
  <si>
    <t>기타 사업수입</t>
    <phoneticPr fontId="2" type="noConversion"/>
  </si>
  <si>
    <t>맥여행사</t>
    <phoneticPr fontId="2" type="noConversion"/>
  </si>
  <si>
    <t>협찬비</t>
    <phoneticPr fontId="2" type="noConversion"/>
  </si>
  <si>
    <t>코리아리그지원비외</t>
    <phoneticPr fontId="2" type="noConversion"/>
  </si>
  <si>
    <t>리그지원비(신우기획외)</t>
    <phoneticPr fontId="2" type="noConversion"/>
  </si>
  <si>
    <t>선수이적수수료(고경수)외</t>
    <phoneticPr fontId="2" type="noConversion"/>
  </si>
  <si>
    <t>이적수수료</t>
    <phoneticPr fontId="2" type="noConversion"/>
  </si>
  <si>
    <t>국외정보수집환입외</t>
    <phoneticPr fontId="2" type="noConversion"/>
  </si>
  <si>
    <t>환입비</t>
    <phoneticPr fontId="2" type="noConversion"/>
  </si>
  <si>
    <t>국외정보수집환입금</t>
    <phoneticPr fontId="2" type="noConversion"/>
  </si>
  <si>
    <t>리우여자예선참관단부담금</t>
    <phoneticPr fontId="2" type="noConversion"/>
  </si>
  <si>
    <t>참관단본인부담금</t>
    <phoneticPr fontId="2" type="noConversion"/>
  </si>
  <si>
    <t>핸드볼학교(회비)</t>
    <phoneticPr fontId="2" type="noConversion"/>
  </si>
  <si>
    <t>핸드볼학교 회비</t>
    <phoneticPr fontId="2" type="noConversion"/>
  </si>
  <si>
    <t>대관료(서울시청/SK루브리컨츠)</t>
    <phoneticPr fontId="2" type="noConversion"/>
  </si>
  <si>
    <t>대관료환입</t>
    <phoneticPr fontId="2" type="noConversion"/>
  </si>
  <si>
    <t>대관료 환입</t>
    <phoneticPr fontId="2" type="noConversion"/>
  </si>
  <si>
    <t>세계여자선수권대회IHF(항공료)</t>
    <phoneticPr fontId="2" type="noConversion"/>
  </si>
  <si>
    <t>항공료환입</t>
    <phoneticPr fontId="2" type="noConversion"/>
  </si>
  <si>
    <t>1부대학연회비</t>
    <phoneticPr fontId="2" type="noConversion"/>
  </si>
  <si>
    <t>연회비</t>
    <phoneticPr fontId="2" type="noConversion"/>
  </si>
  <si>
    <t>대학연회비</t>
    <phoneticPr fontId="2" type="noConversion"/>
  </si>
  <si>
    <t>실적증명서 발급수수료</t>
    <phoneticPr fontId="2" type="noConversion"/>
  </si>
  <si>
    <t>증명서발급수수료</t>
    <phoneticPr fontId="2" type="noConversion"/>
  </si>
  <si>
    <t>핸드볼아카데미CD판매</t>
    <phoneticPr fontId="2" type="noConversion"/>
  </si>
  <si>
    <t>CD판매수수료</t>
    <phoneticPr fontId="2" type="noConversion"/>
  </si>
  <si>
    <t>전국체전사전경기 소청</t>
    <phoneticPr fontId="2" type="noConversion"/>
  </si>
  <si>
    <t>소청비</t>
    <phoneticPr fontId="2" type="noConversion"/>
  </si>
  <si>
    <t>후원금外</t>
    <phoneticPr fontId="2" type="noConversion"/>
  </si>
  <si>
    <t>기업후원금(회장사)</t>
    <phoneticPr fontId="2" type="noConversion"/>
  </si>
  <si>
    <t>후원금</t>
    <phoneticPr fontId="2" type="noConversion"/>
  </si>
  <si>
    <t>시도대회 협찬금</t>
    <phoneticPr fontId="2" type="noConversion"/>
  </si>
  <si>
    <t>제70회종별선수권대회</t>
    <phoneticPr fontId="2" type="noConversion"/>
  </si>
  <si>
    <t>협회장배중고선수권대회</t>
    <phoneticPr fontId="2" type="noConversion"/>
  </si>
  <si>
    <t>제96회전국체육대회</t>
    <phoneticPr fontId="2" type="noConversion"/>
  </si>
  <si>
    <t>한중일종합대회</t>
    <phoneticPr fontId="2" type="noConversion"/>
  </si>
  <si>
    <t>태백산기전국종합대회</t>
    <phoneticPr fontId="2" type="noConversion"/>
  </si>
  <si>
    <t>핸드볼코리아중고등대회</t>
    <phoneticPr fontId="2" type="noConversion"/>
  </si>
  <si>
    <t>전국꿈나무대회</t>
    <phoneticPr fontId="2" type="noConversion"/>
  </si>
  <si>
    <t>발전재단지원금</t>
    <phoneticPr fontId="2" type="noConversion"/>
  </si>
  <si>
    <t>핸드볼아카데미</t>
    <phoneticPr fontId="2" type="noConversion"/>
  </si>
  <si>
    <t>영재우수선수장학금.발굴지원비</t>
    <phoneticPr fontId="2" type="noConversion"/>
  </si>
  <si>
    <t>국내국제심판양성</t>
    <phoneticPr fontId="2" type="noConversion"/>
  </si>
  <si>
    <t>핸드볼라이브러리외</t>
    <phoneticPr fontId="2" type="noConversion"/>
  </si>
  <si>
    <t>2016리우Project</t>
    <phoneticPr fontId="2" type="noConversion"/>
  </si>
  <si>
    <t>국가대표코치외 전담팀운영</t>
    <phoneticPr fontId="2" type="noConversion"/>
  </si>
  <si>
    <t>선진기술습득.국제경험축적</t>
    <phoneticPr fontId="2" type="noConversion"/>
  </si>
  <si>
    <t>국외정보수집.자문</t>
    <phoneticPr fontId="2" type="noConversion"/>
  </si>
  <si>
    <t>격려금(제13회아시아여자주니어)</t>
    <phoneticPr fontId="20" type="noConversion"/>
  </si>
  <si>
    <t>격려금(아시아여자청소년)</t>
    <phoneticPr fontId="2" type="noConversion"/>
  </si>
  <si>
    <t>격려금(리우올림픽아시아예선여자)</t>
    <phoneticPr fontId="2" type="noConversion"/>
  </si>
  <si>
    <t>격려금(제15회아시아여자선수권대회)</t>
    <phoneticPr fontId="2" type="noConversion"/>
  </si>
  <si>
    <t>U-12.16국외전지훈련</t>
    <phoneticPr fontId="2" type="noConversion"/>
  </si>
  <si>
    <t>남자실업선수지원</t>
    <phoneticPr fontId="2" type="noConversion"/>
  </si>
  <si>
    <t>무적남자실업선수훈련지원비</t>
    <phoneticPr fontId="2" type="noConversion"/>
  </si>
  <si>
    <t>교육대활성화및대회개최지원</t>
    <phoneticPr fontId="2" type="noConversion"/>
  </si>
  <si>
    <t>훈련지원비</t>
    <phoneticPr fontId="2" type="noConversion"/>
  </si>
  <si>
    <t>교육대학교대회지원비</t>
    <phoneticPr fontId="2" type="noConversion"/>
  </si>
  <si>
    <t>국립대학교대회지원비</t>
    <phoneticPr fontId="2" type="noConversion"/>
  </si>
  <si>
    <t>팀창단지원</t>
    <phoneticPr fontId="2" type="noConversion"/>
  </si>
  <si>
    <t>신규창단지원비</t>
    <phoneticPr fontId="2" type="noConversion"/>
  </si>
  <si>
    <t>기존창단지원비</t>
    <phoneticPr fontId="2" type="noConversion"/>
  </si>
  <si>
    <t>미수금</t>
    <phoneticPr fontId="2" type="noConversion"/>
  </si>
  <si>
    <t>전년도 미수금</t>
    <phoneticPr fontId="2" type="noConversion"/>
  </si>
  <si>
    <t>선급금</t>
    <phoneticPr fontId="2" type="noConversion"/>
  </si>
  <si>
    <t>법인세환급금</t>
    <phoneticPr fontId="2" type="noConversion"/>
  </si>
  <si>
    <t>기타</t>
    <phoneticPr fontId="2" type="noConversion"/>
  </si>
  <si>
    <t>이자수익</t>
    <phoneticPr fontId="2" type="noConversion"/>
  </si>
  <si>
    <t>잡이익</t>
    <phoneticPr fontId="2" type="noConversion"/>
  </si>
  <si>
    <t>임차보증금</t>
    <phoneticPr fontId="2" type="noConversion"/>
  </si>
  <si>
    <t>코치임차보증금</t>
    <phoneticPr fontId="2" type="noConversion"/>
  </si>
  <si>
    <t>총         계</t>
    <phoneticPr fontId="2" type="noConversion"/>
  </si>
  <si>
    <t>일반관리비</t>
    <phoneticPr fontId="2" type="noConversion"/>
  </si>
  <si>
    <t>급여1(근로)</t>
    <phoneticPr fontId="2" type="noConversion"/>
  </si>
  <si>
    <t>기타(4명)</t>
    <phoneticPr fontId="2" type="noConversion"/>
  </si>
  <si>
    <t>국제전문인력(1명*2월)</t>
    <phoneticPr fontId="2" type="noConversion"/>
  </si>
  <si>
    <t>급여2(사업)</t>
    <phoneticPr fontId="2" type="noConversion"/>
  </si>
  <si>
    <t>임원활동비</t>
    <phoneticPr fontId="2" type="noConversion"/>
  </si>
  <si>
    <t>아카데미/리그조직위</t>
    <phoneticPr fontId="2" type="noConversion"/>
  </si>
  <si>
    <t>퇴직급여</t>
    <phoneticPr fontId="2" type="noConversion"/>
  </si>
  <si>
    <t>사회보험부담금</t>
    <phoneticPr fontId="2" type="noConversion"/>
  </si>
  <si>
    <t>건강보험</t>
    <phoneticPr fontId="2" type="noConversion"/>
  </si>
  <si>
    <t>고용보험</t>
    <phoneticPr fontId="2" type="noConversion"/>
  </si>
  <si>
    <t>산재보험</t>
    <phoneticPr fontId="2" type="noConversion"/>
  </si>
  <si>
    <t>여비교통비</t>
    <phoneticPr fontId="2" type="noConversion"/>
  </si>
  <si>
    <t>국외출장비</t>
    <phoneticPr fontId="2" type="noConversion"/>
  </si>
  <si>
    <t>국내출장비</t>
    <phoneticPr fontId="2" type="noConversion"/>
  </si>
  <si>
    <t>시내교통비 및 주차비</t>
    <phoneticPr fontId="2" type="noConversion"/>
  </si>
  <si>
    <t>리그조직위관리비</t>
    <phoneticPr fontId="2" type="noConversion"/>
  </si>
  <si>
    <t>우편료</t>
    <phoneticPr fontId="2" type="noConversion"/>
  </si>
  <si>
    <t>전화료</t>
    <phoneticPr fontId="2" type="noConversion"/>
  </si>
  <si>
    <t>해외로밍비</t>
    <phoneticPr fontId="2" type="noConversion"/>
  </si>
  <si>
    <t>핸드볼인의밤 행사</t>
    <phoneticPr fontId="2" type="noConversion"/>
  </si>
  <si>
    <t>핸드볼경기장시스템개선공사</t>
    <phoneticPr fontId="2" type="noConversion"/>
  </si>
  <si>
    <t>기타 신인드레프트,가자간담회</t>
    <phoneticPr fontId="2" type="noConversion"/>
  </si>
  <si>
    <t>식비</t>
    <phoneticPr fontId="2" type="noConversion"/>
  </si>
  <si>
    <t>경조사 화환 및 경조비</t>
    <phoneticPr fontId="2" type="noConversion"/>
  </si>
  <si>
    <t>핸드볼코리아잡지</t>
    <phoneticPr fontId="2" type="noConversion"/>
  </si>
  <si>
    <t>신문대금외</t>
    <phoneticPr fontId="2" type="noConversion"/>
  </si>
  <si>
    <t>지급수수료</t>
    <phoneticPr fontId="2" type="noConversion"/>
  </si>
  <si>
    <t>핸드볼경기장 사용료</t>
    <phoneticPr fontId="2" type="noConversion"/>
  </si>
  <si>
    <t>회계/행정감사비</t>
    <phoneticPr fontId="2" type="noConversion"/>
  </si>
  <si>
    <t>세무조정료</t>
    <phoneticPr fontId="2" type="noConversion"/>
  </si>
  <si>
    <t>홈페이운영관리비</t>
    <phoneticPr fontId="2" type="noConversion"/>
  </si>
  <si>
    <t>회계시스템유지보수료(온아티시스템)</t>
    <phoneticPr fontId="2" type="noConversion"/>
  </si>
  <si>
    <t>기타프린터.복사기.공기청정기수수료외</t>
    <phoneticPr fontId="2" type="noConversion"/>
  </si>
  <si>
    <t>섭외홍보비</t>
    <phoneticPr fontId="2" type="noConversion"/>
  </si>
  <si>
    <t>언론홍보외</t>
    <phoneticPr fontId="2" type="noConversion"/>
  </si>
  <si>
    <t>외주용역비</t>
    <phoneticPr fontId="2" type="noConversion"/>
  </si>
  <si>
    <t>청소(20만*12개월)</t>
    <phoneticPr fontId="2" type="noConversion"/>
  </si>
  <si>
    <t>운반비</t>
    <phoneticPr fontId="2" type="noConversion"/>
  </si>
  <si>
    <t>퀵서비스외</t>
    <phoneticPr fontId="2" type="noConversion"/>
  </si>
  <si>
    <t>남여국가대표격려비외</t>
    <phoneticPr fontId="2" type="noConversion"/>
  </si>
  <si>
    <t>설.추석명절비</t>
    <phoneticPr fontId="2" type="noConversion"/>
  </si>
  <si>
    <t>설.추석명절선물비</t>
    <phoneticPr fontId="2" type="noConversion"/>
  </si>
  <si>
    <t>휴가비</t>
    <phoneticPr fontId="2" type="noConversion"/>
  </si>
  <si>
    <t>문화생활비(5만원*7명*12개월)</t>
    <phoneticPr fontId="2" type="noConversion"/>
  </si>
  <si>
    <t>건강검진비(25만원*8명)</t>
    <phoneticPr fontId="2" type="noConversion"/>
  </si>
  <si>
    <t>식대</t>
    <phoneticPr fontId="2" type="noConversion"/>
  </si>
  <si>
    <t>세금과공과</t>
    <phoneticPr fontId="2" type="noConversion"/>
  </si>
  <si>
    <t>협회차량(i-40)</t>
    <phoneticPr fontId="2" type="noConversion"/>
  </si>
  <si>
    <t>기타(주민세외)</t>
    <phoneticPr fontId="2" type="noConversion"/>
  </si>
  <si>
    <t>협회차량(카니발)</t>
    <phoneticPr fontId="2" type="noConversion"/>
  </si>
  <si>
    <t>보험료</t>
    <phoneticPr fontId="2" type="noConversion"/>
  </si>
  <si>
    <t>재정보증1</t>
    <phoneticPr fontId="2" type="noConversion"/>
  </si>
  <si>
    <t>재정보증2</t>
    <phoneticPr fontId="2" type="noConversion"/>
  </si>
  <si>
    <t>잡비</t>
    <phoneticPr fontId="2" type="noConversion"/>
  </si>
  <si>
    <t>전국교육대학대회</t>
    <phoneticPr fontId="2" type="noConversion"/>
  </si>
  <si>
    <t>팀지원비</t>
    <phoneticPr fontId="2" type="noConversion"/>
  </si>
  <si>
    <t>회의비외</t>
    <phoneticPr fontId="2" type="noConversion"/>
  </si>
  <si>
    <t>행사비외</t>
    <phoneticPr fontId="2" type="noConversion"/>
  </si>
  <si>
    <t>전국대학대회1차</t>
    <phoneticPr fontId="2" type="noConversion"/>
  </si>
  <si>
    <t>심판비등인건비</t>
    <phoneticPr fontId="2" type="noConversion"/>
  </si>
  <si>
    <t>차량임차비</t>
    <phoneticPr fontId="2" type="noConversion"/>
  </si>
  <si>
    <t>스포츠클럽대회</t>
    <phoneticPr fontId="2" type="noConversion"/>
  </si>
  <si>
    <t>전국소년체육대회</t>
    <phoneticPr fontId="2" type="noConversion"/>
  </si>
  <si>
    <t>전국체육대회</t>
    <phoneticPr fontId="2" type="noConversion"/>
  </si>
  <si>
    <t>전국종별대회</t>
    <phoneticPr fontId="2" type="noConversion"/>
  </si>
  <si>
    <t>대회유치지원비</t>
    <phoneticPr fontId="2" type="noConversion"/>
  </si>
  <si>
    <t>전국중고선수권대회</t>
    <phoneticPr fontId="2" type="noConversion"/>
  </si>
  <si>
    <t>중/고등/대학대회</t>
    <phoneticPr fontId="2" type="noConversion"/>
  </si>
  <si>
    <t>상금 및 지원금</t>
    <phoneticPr fontId="2" type="noConversion"/>
  </si>
  <si>
    <t>상금 및 지원비</t>
    <phoneticPr fontId="2" type="noConversion"/>
  </si>
  <si>
    <t>코리아리그대회</t>
    <phoneticPr fontId="2" type="noConversion"/>
  </si>
  <si>
    <t>중계수수료</t>
    <phoneticPr fontId="2" type="noConversion"/>
  </si>
  <si>
    <t>국제대회비</t>
    <phoneticPr fontId="2" type="noConversion"/>
  </si>
  <si>
    <t>광주유니버시아드대회</t>
    <phoneticPr fontId="2" type="noConversion"/>
  </si>
  <si>
    <t>지원용품</t>
    <phoneticPr fontId="2" type="noConversion"/>
  </si>
  <si>
    <t>회비/국제연맹회의</t>
    <phoneticPr fontId="2" type="noConversion"/>
  </si>
  <si>
    <t>회비</t>
    <phoneticPr fontId="2" type="noConversion"/>
  </si>
  <si>
    <t>활동비</t>
    <phoneticPr fontId="2" type="noConversion"/>
  </si>
  <si>
    <t>동아시아클럽대회</t>
    <phoneticPr fontId="2" type="noConversion"/>
  </si>
  <si>
    <t>동아시아U-22 대회</t>
    <phoneticPr fontId="2" type="noConversion"/>
  </si>
  <si>
    <t>팀운영비</t>
    <phoneticPr fontId="2" type="noConversion"/>
  </si>
  <si>
    <t>의료용품비</t>
    <phoneticPr fontId="2" type="noConversion"/>
  </si>
  <si>
    <t>지도자수당</t>
    <phoneticPr fontId="2" type="noConversion"/>
  </si>
  <si>
    <t>귀향비</t>
    <phoneticPr fontId="2" type="noConversion"/>
  </si>
  <si>
    <t>리우올림픽</t>
    <phoneticPr fontId="2" type="noConversion"/>
  </si>
  <si>
    <t>등록비</t>
    <phoneticPr fontId="2" type="noConversion"/>
  </si>
  <si>
    <t>티켓비</t>
    <phoneticPr fontId="2" type="noConversion"/>
  </si>
  <si>
    <t>홍보비외</t>
    <phoneticPr fontId="2" type="noConversion"/>
  </si>
  <si>
    <t>군인선수권대회</t>
    <phoneticPr fontId="2" type="noConversion"/>
  </si>
  <si>
    <t>서울컵</t>
    <phoneticPr fontId="2" type="noConversion"/>
  </si>
  <si>
    <t>기타 예비비</t>
    <phoneticPr fontId="2" type="noConversion"/>
  </si>
  <si>
    <t>세계남자주니어대회</t>
    <phoneticPr fontId="2" type="noConversion"/>
  </si>
  <si>
    <t>교통비외</t>
    <phoneticPr fontId="2" type="noConversion"/>
  </si>
  <si>
    <t>세계남자청소년대회</t>
    <phoneticPr fontId="2" type="noConversion"/>
  </si>
  <si>
    <t>용품비외</t>
    <phoneticPr fontId="2" type="noConversion"/>
  </si>
  <si>
    <t>세계여자대회</t>
    <phoneticPr fontId="2" type="noConversion"/>
  </si>
  <si>
    <t>의료비외</t>
    <phoneticPr fontId="2" type="noConversion"/>
  </si>
  <si>
    <t>아시아여자대회</t>
    <phoneticPr fontId="2" type="noConversion"/>
  </si>
  <si>
    <t>아시아여자주니어대회</t>
    <phoneticPr fontId="2" type="noConversion"/>
  </si>
  <si>
    <t>버스비외</t>
    <phoneticPr fontId="2" type="noConversion"/>
  </si>
  <si>
    <t>아시아여자청소년대회</t>
    <phoneticPr fontId="2" type="noConversion"/>
  </si>
  <si>
    <t>한일초등교류</t>
    <phoneticPr fontId="2" type="noConversion"/>
  </si>
  <si>
    <t>한일우수청소년교류</t>
    <phoneticPr fontId="2" type="noConversion"/>
  </si>
  <si>
    <t>U-12국외전지훈련</t>
    <phoneticPr fontId="2" type="noConversion"/>
  </si>
  <si>
    <t>수당등인건비</t>
    <phoneticPr fontId="2" type="noConversion"/>
  </si>
  <si>
    <t>U-16국외전지훈련</t>
    <phoneticPr fontId="2" type="noConversion"/>
  </si>
  <si>
    <t>광주유니버시아드</t>
    <phoneticPr fontId="2" type="noConversion"/>
  </si>
  <si>
    <t>여자국가대표 국외전지훈련</t>
    <phoneticPr fontId="2" type="noConversion"/>
  </si>
  <si>
    <t>남자국가대표 국외전지훈련</t>
    <phoneticPr fontId="2" type="noConversion"/>
  </si>
  <si>
    <t>후보선수동계합숙훈련</t>
    <phoneticPr fontId="2" type="noConversion"/>
  </si>
  <si>
    <t>시설사용료</t>
    <phoneticPr fontId="2" type="noConversion"/>
  </si>
  <si>
    <t>훈련용품비</t>
    <phoneticPr fontId="2" type="noConversion"/>
  </si>
  <si>
    <t>목욕비외</t>
    <phoneticPr fontId="2" type="noConversion"/>
  </si>
  <si>
    <t>후보선수하계합숙훈련</t>
    <phoneticPr fontId="2" type="noConversion"/>
  </si>
  <si>
    <t>현수막제작외</t>
    <phoneticPr fontId="2" type="noConversion"/>
  </si>
  <si>
    <t>U-16 청소년하계합숙훈련</t>
    <phoneticPr fontId="2" type="noConversion"/>
  </si>
  <si>
    <t>강습비</t>
    <phoneticPr fontId="2" type="noConversion"/>
  </si>
  <si>
    <t>목욕비</t>
    <phoneticPr fontId="2" type="noConversion"/>
  </si>
  <si>
    <t>청소년지도자육성지원</t>
    <phoneticPr fontId="2" type="noConversion"/>
  </si>
  <si>
    <t>꿈나무 동계합숙훈련</t>
    <phoneticPr fontId="2" type="noConversion"/>
  </si>
  <si>
    <t>기타제작비</t>
    <phoneticPr fontId="2" type="noConversion"/>
  </si>
  <si>
    <t>꿈나무 하계합숙훈련</t>
    <phoneticPr fontId="2" type="noConversion"/>
  </si>
  <si>
    <t>꿈나무육성지원</t>
    <phoneticPr fontId="2" type="noConversion"/>
  </si>
  <si>
    <t>세계남자주니어</t>
    <phoneticPr fontId="2" type="noConversion"/>
  </si>
  <si>
    <t>세계남자청소년</t>
    <phoneticPr fontId="2" type="noConversion"/>
  </si>
  <si>
    <t>아시아여자주니어</t>
    <phoneticPr fontId="2" type="noConversion"/>
  </si>
  <si>
    <t>아시아여자청소년</t>
    <phoneticPr fontId="2" type="noConversion"/>
  </si>
  <si>
    <t>육성지원비</t>
    <phoneticPr fontId="2" type="noConversion"/>
  </si>
  <si>
    <t>수당외</t>
    <phoneticPr fontId="2" type="noConversion"/>
  </si>
  <si>
    <t>영재우수선수장학금/발굴외</t>
    <phoneticPr fontId="2" type="noConversion"/>
  </si>
  <si>
    <t>심판,지도자 양성</t>
    <phoneticPr fontId="2" type="noConversion"/>
  </si>
  <si>
    <t>리우프로젝트</t>
    <phoneticPr fontId="2" type="noConversion"/>
  </si>
  <si>
    <t>코치수당</t>
    <phoneticPr fontId="2" type="noConversion"/>
  </si>
  <si>
    <t>전력분석원수당</t>
    <phoneticPr fontId="2" type="noConversion"/>
  </si>
  <si>
    <t>유니버시아드트레이너수당</t>
    <phoneticPr fontId="2" type="noConversion"/>
  </si>
  <si>
    <t>외국인코치항공료</t>
    <phoneticPr fontId="2" type="noConversion"/>
  </si>
  <si>
    <t>국가대표 의약품/기기</t>
    <phoneticPr fontId="2" type="noConversion"/>
  </si>
  <si>
    <t>자비입촌비</t>
    <phoneticPr fontId="2" type="noConversion"/>
  </si>
  <si>
    <t>자문료</t>
    <phoneticPr fontId="2" type="noConversion"/>
  </si>
  <si>
    <t>핸드볼교실</t>
    <phoneticPr fontId="2" type="noConversion"/>
  </si>
  <si>
    <t>용품비</t>
    <phoneticPr fontId="2" type="noConversion"/>
  </si>
  <si>
    <t>스포츠외교강화</t>
    <phoneticPr fontId="2" type="noConversion"/>
  </si>
  <si>
    <t>광주유니버시아드지원</t>
    <phoneticPr fontId="2" type="noConversion"/>
  </si>
  <si>
    <t>세계군인대회지원</t>
    <phoneticPr fontId="2" type="noConversion"/>
  </si>
  <si>
    <t>초등팀활성화</t>
    <phoneticPr fontId="2" type="noConversion"/>
  </si>
  <si>
    <t>교육대학활성화</t>
    <phoneticPr fontId="2" type="noConversion"/>
  </si>
  <si>
    <t>지도자 지원</t>
    <phoneticPr fontId="2" type="noConversion"/>
  </si>
  <si>
    <t>팀 지원</t>
    <phoneticPr fontId="2" type="noConversion"/>
  </si>
  <si>
    <t>훈련용품지원</t>
    <phoneticPr fontId="2" type="noConversion"/>
  </si>
  <si>
    <t>팀창단활성화</t>
    <phoneticPr fontId="2" type="noConversion"/>
  </si>
  <si>
    <t>부산백양고등학교</t>
    <phoneticPr fontId="2" type="noConversion"/>
  </si>
  <si>
    <t>금천초등학교</t>
    <phoneticPr fontId="2" type="noConversion"/>
  </si>
  <si>
    <t>서귀포중학교</t>
    <phoneticPr fontId="2" type="noConversion"/>
  </si>
  <si>
    <t>전남무안북중학교</t>
    <phoneticPr fontId="2" type="noConversion"/>
  </si>
  <si>
    <t>무안초등학교</t>
    <phoneticPr fontId="2" type="noConversion"/>
  </si>
  <si>
    <t>시도지부활성화</t>
    <phoneticPr fontId="2" type="noConversion"/>
  </si>
  <si>
    <t>전문위원회활성화</t>
    <phoneticPr fontId="2" type="noConversion"/>
  </si>
  <si>
    <t>2014미지급금</t>
    <phoneticPr fontId="2" type="noConversion"/>
  </si>
  <si>
    <t>국고.기금외 반납</t>
    <phoneticPr fontId="2" type="noConversion"/>
  </si>
  <si>
    <t>상임심판순회지도미실행반납</t>
    <phoneticPr fontId="2" type="noConversion"/>
  </si>
  <si>
    <t>남.국.대국외전지훈련2차반납</t>
    <phoneticPr fontId="2" type="noConversion"/>
  </si>
  <si>
    <t>전문스포츠지도자검정</t>
    <phoneticPr fontId="2" type="noConversion"/>
  </si>
  <si>
    <t>학교스포츠지원비</t>
    <phoneticPr fontId="2" type="noConversion"/>
  </si>
  <si>
    <t>세계여자대학대회</t>
    <phoneticPr fontId="2" type="noConversion"/>
  </si>
  <si>
    <t>이란회장컵</t>
    <phoneticPr fontId="2" type="noConversion"/>
  </si>
  <si>
    <t>대표팀지원비(의료비+용품)</t>
    <phoneticPr fontId="2" type="noConversion"/>
  </si>
  <si>
    <t>대관료</t>
    <phoneticPr fontId="2" type="noConversion"/>
  </si>
  <si>
    <t>비품</t>
    <phoneticPr fontId="2" type="noConversion"/>
  </si>
  <si>
    <t>차량렌트보증금</t>
    <phoneticPr fontId="2" type="noConversion"/>
  </si>
  <si>
    <t>선급비용</t>
    <phoneticPr fontId="2" type="noConversion"/>
  </si>
  <si>
    <t>선급법인세</t>
    <phoneticPr fontId="2" type="noConversion"/>
  </si>
  <si>
    <t>잡손실</t>
    <phoneticPr fontId="2" type="noConversion"/>
  </si>
  <si>
    <t>지출 예산서</t>
    <phoneticPr fontId="2" type="noConversion"/>
  </si>
  <si>
    <t>국고지원(3명*12월)</t>
    <phoneticPr fontId="2" type="noConversion"/>
  </si>
  <si>
    <t>근로소득자(8명)</t>
    <phoneticPr fontId="2" type="noConversion"/>
  </si>
  <si>
    <t>국제전문인력지원(245만원*2개월)</t>
    <phoneticPr fontId="2" type="noConversion"/>
  </si>
  <si>
    <t>SK텔레콤</t>
    <phoneticPr fontId="2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</si>
</sst>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(* #,##0_);_(* \(#,##0\);_(* &quot;-&quot;_);_(@_)"/>
    <numFmt numFmtId="177" formatCode="0_ "/>
    <numFmt numFmtId="178" formatCode="#,##0_);[Red]\(#,##0\)"/>
    <numFmt numFmtId="179" formatCode="#,##0_);\(#,##0\)"/>
    <numFmt numFmtId="180" formatCode="_ * #,##0_ ;_ * \-#,##0_ ;_ * &quot;-&quot;_ ;_ @_ 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sz val="10"/>
      <name val="돋움"/>
      <family val="3"/>
      <charset val="129"/>
    </font>
    <font>
      <sz val="10"/>
      <color indexed="10"/>
      <name val="돋움"/>
      <family val="3"/>
      <charset val="129"/>
    </font>
    <font>
      <sz val="10"/>
      <color indexed="9"/>
      <name val="돋움"/>
      <family val="3"/>
      <charset val="129"/>
    </font>
    <font>
      <sz val="8"/>
      <color indexed="9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indexed="1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180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8">
    <xf numFmtId="0" fontId="0" fillId="0" borderId="0" xfId="0">
      <alignment vertical="center"/>
    </xf>
    <xf numFmtId="41" fontId="4" fillId="0" borderId="0" xfId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horizontal="center" vertical="center" shrinkToFit="1"/>
    </xf>
    <xf numFmtId="49" fontId="4" fillId="0" borderId="0" xfId="5" applyNumberFormat="1" applyFont="1" applyFill="1" applyAlignment="1">
      <alignment vertical="center"/>
    </xf>
    <xf numFmtId="0" fontId="4" fillId="0" borderId="0" xfId="5" applyFont="1" applyFill="1" applyAlignment="1">
      <alignment horizontal="right" vertical="center" shrinkToFit="1"/>
    </xf>
    <xf numFmtId="0" fontId="4" fillId="0" borderId="1" xfId="5" applyFont="1" applyFill="1" applyBorder="1" applyAlignment="1">
      <alignment horizontal="center" vertical="center" shrinkToFit="1"/>
    </xf>
    <xf numFmtId="0" fontId="4" fillId="0" borderId="2" xfId="5" applyFont="1" applyFill="1" applyBorder="1" applyAlignment="1">
      <alignment horizontal="center" vertical="center" shrinkToFit="1"/>
    </xf>
    <xf numFmtId="49" fontId="4" fillId="0" borderId="3" xfId="5" applyNumberFormat="1" applyFont="1" applyFill="1" applyBorder="1" applyAlignment="1">
      <alignment vertical="center"/>
    </xf>
    <xf numFmtId="0" fontId="4" fillId="0" borderId="4" xfId="5" applyFont="1" applyFill="1" applyBorder="1" applyAlignment="1">
      <alignment horizontal="right" vertical="center" shrinkToFit="1"/>
    </xf>
    <xf numFmtId="49" fontId="4" fillId="0" borderId="5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horizontal="right" vertical="center" shrinkToFit="1"/>
    </xf>
    <xf numFmtId="0" fontId="4" fillId="0" borderId="6" xfId="5" applyFont="1" applyFill="1" applyBorder="1" applyAlignment="1">
      <alignment horizontal="center" vertical="center" shrinkToFit="1"/>
    </xf>
    <xf numFmtId="49" fontId="4" fillId="0" borderId="7" xfId="5" applyNumberFormat="1" applyFont="1" applyFill="1" applyBorder="1" applyAlignment="1">
      <alignment vertical="center"/>
    </xf>
    <xf numFmtId="0" fontId="4" fillId="0" borderId="8" xfId="5" applyFont="1" applyFill="1" applyBorder="1" applyAlignment="1">
      <alignment horizontal="right" vertical="center" shrinkToFit="1"/>
    </xf>
    <xf numFmtId="49" fontId="4" fillId="0" borderId="9" xfId="5" applyNumberFormat="1" applyFont="1" applyFill="1" applyBorder="1" applyAlignment="1">
      <alignment vertical="center"/>
    </xf>
    <xf numFmtId="0" fontId="4" fillId="0" borderId="10" xfId="5" applyFont="1" applyFill="1" applyBorder="1" applyAlignment="1">
      <alignment horizontal="right" vertical="center" shrinkToFit="1"/>
    </xf>
    <xf numFmtId="3" fontId="4" fillId="0" borderId="8" xfId="5" applyNumberFormat="1" applyFont="1" applyFill="1" applyBorder="1" applyAlignment="1">
      <alignment horizontal="right" vertical="center" shrinkToFit="1"/>
    </xf>
    <xf numFmtId="0" fontId="4" fillId="0" borderId="11" xfId="5" applyFont="1" applyFill="1" applyBorder="1" applyAlignment="1">
      <alignment horizontal="center" vertical="center" shrinkToFit="1"/>
    </xf>
    <xf numFmtId="49" fontId="4" fillId="0" borderId="8" xfId="5" applyNumberFormat="1" applyFont="1" applyFill="1" applyBorder="1" applyAlignment="1">
      <alignment horizontal="right" vertical="center" shrinkToFit="1"/>
    </xf>
    <xf numFmtId="49" fontId="4" fillId="0" borderId="0" xfId="5" applyNumberFormat="1" applyFont="1" applyFill="1" applyBorder="1" applyAlignment="1">
      <alignment horizontal="right" vertical="center" shrinkToFit="1"/>
    </xf>
    <xf numFmtId="49" fontId="4" fillId="0" borderId="4" xfId="5" applyNumberFormat="1" applyFont="1" applyFill="1" applyBorder="1" applyAlignment="1">
      <alignment horizontal="right" vertical="center" shrinkToFit="1"/>
    </xf>
    <xf numFmtId="0" fontId="4" fillId="0" borderId="0" xfId="5" applyFont="1" applyFill="1" applyAlignment="1">
      <alignment vertical="center"/>
    </xf>
    <xf numFmtId="49" fontId="4" fillId="0" borderId="5" xfId="5" applyNumberFormat="1" applyFont="1" applyFill="1" applyBorder="1" applyAlignment="1">
      <alignment vertical="center" shrinkToFit="1"/>
    </xf>
    <xf numFmtId="49" fontId="4" fillId="0" borderId="3" xfId="5" applyNumberFormat="1" applyFont="1" applyFill="1" applyBorder="1" applyAlignment="1">
      <alignment vertical="center" shrinkToFit="1"/>
    </xf>
    <xf numFmtId="41" fontId="4" fillId="0" borderId="2" xfId="1" applyFont="1" applyFill="1" applyBorder="1" applyAlignment="1">
      <alignment vertical="center"/>
    </xf>
    <xf numFmtId="49" fontId="4" fillId="0" borderId="10" xfId="5" applyNumberFormat="1" applyFont="1" applyFill="1" applyBorder="1" applyAlignment="1">
      <alignment horizontal="right" vertical="center" shrinkToFit="1"/>
    </xf>
    <xf numFmtId="49" fontId="4" fillId="0" borderId="9" xfId="5" applyNumberFormat="1" applyFont="1" applyFill="1" applyBorder="1" applyAlignment="1">
      <alignment horizontal="left" vertical="center"/>
    </xf>
    <xf numFmtId="49" fontId="4" fillId="0" borderId="5" xfId="5" applyNumberFormat="1" applyFont="1" applyFill="1" applyBorder="1" applyAlignment="1">
      <alignment horizontal="left" vertical="center"/>
    </xf>
    <xf numFmtId="49" fontId="4" fillId="0" borderId="3" xfId="5" applyNumberFormat="1" applyFont="1" applyFill="1" applyBorder="1" applyAlignment="1">
      <alignment horizontal="left" vertical="center"/>
    </xf>
    <xf numFmtId="41" fontId="4" fillId="0" borderId="12" xfId="1" applyFont="1" applyFill="1" applyBorder="1" applyAlignment="1">
      <alignment vertical="center"/>
    </xf>
    <xf numFmtId="49" fontId="4" fillId="0" borderId="9" xfId="5" applyNumberFormat="1" applyFont="1" applyFill="1" applyBorder="1" applyAlignment="1">
      <alignment vertical="center" shrinkToFit="1"/>
    </xf>
    <xf numFmtId="0" fontId="4" fillId="0" borderId="14" xfId="5" applyFont="1" applyFill="1" applyBorder="1" applyAlignment="1">
      <alignment horizontal="center" vertical="center" shrinkToFit="1"/>
    </xf>
    <xf numFmtId="49" fontId="4" fillId="0" borderId="15" xfId="5" applyNumberFormat="1" applyFont="1" applyFill="1" applyBorder="1" applyAlignment="1">
      <alignment vertical="center"/>
    </xf>
    <xf numFmtId="0" fontId="4" fillId="0" borderId="16" xfId="5" applyFont="1" applyFill="1" applyBorder="1" applyAlignment="1">
      <alignment horizontal="right" vertical="center" shrinkToFit="1"/>
    </xf>
    <xf numFmtId="41" fontId="4" fillId="0" borderId="6" xfId="1" applyFont="1" applyFill="1" applyBorder="1" applyAlignment="1">
      <alignment vertical="center"/>
    </xf>
    <xf numFmtId="41" fontId="4" fillId="0" borderId="0" xfId="5" applyNumberFormat="1" applyFont="1" applyFill="1" applyBorder="1" applyAlignment="1">
      <alignment vertical="center"/>
    </xf>
    <xf numFmtId="41" fontId="4" fillId="0" borderId="1" xfId="1" applyFont="1" applyFill="1" applyBorder="1" applyAlignment="1">
      <alignment vertical="center"/>
    </xf>
    <xf numFmtId="0" fontId="4" fillId="0" borderId="17" xfId="5" applyFont="1" applyFill="1" applyBorder="1" applyAlignment="1">
      <alignment horizontal="center" vertical="center" shrinkToFit="1"/>
    </xf>
    <xf numFmtId="3" fontId="4" fillId="0" borderId="0" xfId="4" applyNumberFormat="1" applyFont="1" applyFill="1" applyAlignment="1">
      <alignment horizontal="right" vertical="center"/>
    </xf>
    <xf numFmtId="3" fontId="4" fillId="0" borderId="17" xfId="4" applyNumberFormat="1" applyFont="1" applyFill="1" applyBorder="1" applyAlignment="1">
      <alignment vertical="center"/>
    </xf>
    <xf numFmtId="3" fontId="4" fillId="0" borderId="18" xfId="4" applyNumberFormat="1" applyFont="1" applyFill="1" applyBorder="1" applyAlignment="1">
      <alignment vertical="center"/>
    </xf>
    <xf numFmtId="3" fontId="4" fillId="0" borderId="12" xfId="4" applyNumberFormat="1" applyFont="1" applyFill="1" applyBorder="1" applyAlignment="1">
      <alignment vertical="center"/>
    </xf>
    <xf numFmtId="3" fontId="4" fillId="0" borderId="19" xfId="4" applyNumberFormat="1" applyFont="1" applyFill="1" applyBorder="1" applyAlignment="1">
      <alignment vertical="center"/>
    </xf>
    <xf numFmtId="3" fontId="4" fillId="0" borderId="12" xfId="2" applyNumberFormat="1" applyFont="1" applyFill="1" applyBorder="1" applyAlignment="1">
      <alignment vertical="center"/>
    </xf>
    <xf numFmtId="3" fontId="4" fillId="0" borderId="18" xfId="2" applyNumberFormat="1" applyFont="1" applyFill="1" applyBorder="1" applyAlignment="1">
      <alignment vertical="center"/>
    </xf>
    <xf numFmtId="3" fontId="4" fillId="0" borderId="17" xfId="2" applyNumberFormat="1" applyFont="1" applyFill="1" applyBorder="1" applyAlignment="1">
      <alignment vertical="center"/>
    </xf>
    <xf numFmtId="3" fontId="4" fillId="0" borderId="19" xfId="2" applyNumberFormat="1" applyFont="1" applyFill="1" applyBorder="1" applyAlignment="1">
      <alignment vertical="center"/>
    </xf>
    <xf numFmtId="3" fontId="4" fillId="0" borderId="18" xfId="1" applyNumberFormat="1" applyFont="1" applyFill="1" applyBorder="1" applyAlignment="1">
      <alignment vertical="center"/>
    </xf>
    <xf numFmtId="3" fontId="4" fillId="0" borderId="17" xfId="1" applyNumberFormat="1" applyFont="1" applyFill="1" applyBorder="1" applyAlignment="1">
      <alignment vertical="center"/>
    </xf>
    <xf numFmtId="3" fontId="4" fillId="0" borderId="20" xfId="4" applyNumberFormat="1" applyFont="1" applyFill="1" applyBorder="1" applyAlignment="1">
      <alignment vertical="center"/>
    </xf>
    <xf numFmtId="3" fontId="4" fillId="0" borderId="0" xfId="4" applyNumberFormat="1" applyFont="1" applyFill="1" applyAlignment="1">
      <alignment vertical="center"/>
    </xf>
    <xf numFmtId="41" fontId="4" fillId="0" borderId="0" xfId="1" applyFont="1" applyFill="1" applyAlignment="1">
      <alignment vertical="center"/>
    </xf>
    <xf numFmtId="41" fontId="4" fillId="0" borderId="11" xfId="1" applyFont="1" applyFill="1" applyBorder="1" applyAlignment="1">
      <alignment vertical="center"/>
    </xf>
    <xf numFmtId="41" fontId="4" fillId="0" borderId="14" xfId="1" applyFont="1" applyFill="1" applyBorder="1" applyAlignment="1">
      <alignment vertical="center"/>
    </xf>
    <xf numFmtId="179" fontId="4" fillId="0" borderId="0" xfId="1" applyNumberFormat="1" applyFont="1" applyFill="1" applyAlignment="1">
      <alignment vertical="center"/>
    </xf>
    <xf numFmtId="179" fontId="4" fillId="0" borderId="1" xfId="1" applyNumberFormat="1" applyFont="1" applyFill="1" applyBorder="1" applyAlignment="1">
      <alignment vertical="center"/>
    </xf>
    <xf numFmtId="179" fontId="4" fillId="0" borderId="11" xfId="1" applyNumberFormat="1" applyFont="1" applyFill="1" applyBorder="1" applyAlignment="1">
      <alignment vertical="center"/>
    </xf>
    <xf numFmtId="179" fontId="4" fillId="0" borderId="6" xfId="1" applyNumberFormat="1" applyFont="1" applyFill="1" applyBorder="1" applyAlignment="1">
      <alignment vertical="center"/>
    </xf>
    <xf numFmtId="179" fontId="4" fillId="0" borderId="2" xfId="1" applyNumberFormat="1" applyFont="1" applyFill="1" applyBorder="1" applyAlignment="1">
      <alignment vertical="center"/>
    </xf>
    <xf numFmtId="179" fontId="4" fillId="0" borderId="14" xfId="1" applyNumberFormat="1" applyFont="1" applyFill="1" applyBorder="1" applyAlignment="1">
      <alignment vertical="center"/>
    </xf>
    <xf numFmtId="0" fontId="4" fillId="0" borderId="12" xfId="5" applyFont="1" applyFill="1" applyBorder="1" applyAlignment="1">
      <alignment horizontal="center" vertical="center" shrinkToFit="1"/>
    </xf>
    <xf numFmtId="49" fontId="4" fillId="0" borderId="3" xfId="5" quotePrefix="1" applyNumberFormat="1" applyFont="1" applyFill="1" applyBorder="1" applyAlignment="1">
      <alignment vertical="center"/>
    </xf>
    <xf numFmtId="49" fontId="4" fillId="0" borderId="7" xfId="5" applyNumberFormat="1" applyFont="1" applyFill="1" applyBorder="1" applyAlignment="1">
      <alignment vertical="center" shrinkToFit="1"/>
    </xf>
    <xf numFmtId="49" fontId="4" fillId="0" borderId="5" xfId="5" quotePrefix="1" applyNumberFormat="1" applyFont="1" applyFill="1" applyBorder="1" applyAlignment="1">
      <alignment vertical="center"/>
    </xf>
    <xf numFmtId="0" fontId="4" fillId="0" borderId="2" xfId="5" applyFont="1" applyFill="1" applyBorder="1" applyAlignment="1">
      <alignment vertical="center"/>
    </xf>
    <xf numFmtId="41" fontId="4" fillId="0" borderId="1" xfId="1" applyFont="1" applyFill="1" applyBorder="1" applyAlignment="1">
      <alignment horizontal="center" vertical="center" shrinkToFit="1"/>
    </xf>
    <xf numFmtId="3" fontId="4" fillId="0" borderId="0" xfId="5" applyNumberFormat="1" applyFont="1" applyFill="1" applyBorder="1" applyAlignment="1">
      <alignment horizontal="right" vertical="center" shrinkToFit="1"/>
    </xf>
    <xf numFmtId="3" fontId="4" fillId="0" borderId="4" xfId="5" applyNumberFormat="1" applyFont="1" applyFill="1" applyBorder="1" applyAlignment="1">
      <alignment horizontal="right" vertical="center" shrinkToFit="1"/>
    </xf>
    <xf numFmtId="41" fontId="5" fillId="0" borderId="1" xfId="1" applyFont="1" applyFill="1" applyBorder="1" applyAlignment="1">
      <alignment vertical="center"/>
    </xf>
    <xf numFmtId="0" fontId="4" fillId="0" borderId="5" xfId="5" applyFont="1" applyFill="1" applyBorder="1" applyAlignment="1">
      <alignment horizontal="center" vertical="center" shrinkToFit="1"/>
    </xf>
    <xf numFmtId="41" fontId="4" fillId="0" borderId="6" xfId="1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vertical="center"/>
    </xf>
    <xf numFmtId="0" fontId="4" fillId="0" borderId="18" xfId="5" applyFont="1" applyFill="1" applyBorder="1" applyAlignment="1">
      <alignment horizontal="center" vertical="center"/>
    </xf>
    <xf numFmtId="0" fontId="4" fillId="0" borderId="5" xfId="5" applyFont="1" applyFill="1" applyBorder="1" applyAlignment="1">
      <alignment vertical="center"/>
    </xf>
    <xf numFmtId="177" fontId="4" fillId="0" borderId="3" xfId="5" applyNumberFormat="1" applyFont="1" applyFill="1" applyBorder="1" applyAlignment="1">
      <alignment vertical="center"/>
    </xf>
    <xf numFmtId="41" fontId="4" fillId="0" borderId="7" xfId="1" applyFont="1" applyFill="1" applyBorder="1" applyAlignment="1">
      <alignment vertical="center"/>
    </xf>
    <xf numFmtId="0" fontId="4" fillId="0" borderId="8" xfId="5" applyFont="1" applyFill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0" fontId="4" fillId="0" borderId="18" xfId="5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3" fontId="4" fillId="0" borderId="19" xfId="1" applyNumberFormat="1" applyFont="1" applyFill="1" applyBorder="1" applyAlignment="1">
      <alignment vertical="center"/>
    </xf>
    <xf numFmtId="0" fontId="4" fillId="0" borderId="19" xfId="5" applyFont="1" applyFill="1" applyBorder="1" applyAlignment="1">
      <alignment horizontal="center" vertical="center" shrinkToFit="1"/>
    </xf>
    <xf numFmtId="41" fontId="4" fillId="0" borderId="11" xfId="1" applyFont="1" applyFill="1" applyBorder="1" applyAlignment="1">
      <alignment horizontal="center" vertical="center" shrinkToFit="1"/>
    </xf>
    <xf numFmtId="3" fontId="4" fillId="0" borderId="12" xfId="1" applyNumberFormat="1" applyFont="1" applyFill="1" applyBorder="1" applyAlignment="1">
      <alignment vertical="center"/>
    </xf>
    <xf numFmtId="49" fontId="4" fillId="0" borderId="7" xfId="5" applyNumberFormat="1" applyFont="1" applyFill="1" applyBorder="1" applyAlignment="1">
      <alignment horizontal="left" vertical="center"/>
    </xf>
    <xf numFmtId="176" fontId="4" fillId="0" borderId="12" xfId="4" applyFont="1" applyFill="1" applyBorder="1" applyAlignment="1">
      <alignment vertical="center"/>
    </xf>
    <xf numFmtId="176" fontId="4" fillId="0" borderId="2" xfId="4" applyFont="1" applyFill="1" applyBorder="1" applyAlignment="1">
      <alignment vertical="center"/>
    </xf>
    <xf numFmtId="176" fontId="4" fillId="0" borderId="18" xfId="4" applyNumberFormat="1" applyFont="1" applyFill="1" applyBorder="1" applyAlignment="1">
      <alignment vertical="center"/>
    </xf>
    <xf numFmtId="176" fontId="4" fillId="0" borderId="1" xfId="4" applyFont="1" applyFill="1" applyBorder="1" applyAlignment="1">
      <alignment vertical="center"/>
    </xf>
    <xf numFmtId="176" fontId="4" fillId="0" borderId="17" xfId="4" applyNumberFormat="1" applyFont="1" applyFill="1" applyBorder="1" applyAlignment="1">
      <alignment vertical="center"/>
    </xf>
    <xf numFmtId="176" fontId="4" fillId="0" borderId="6" xfId="4" applyFont="1" applyFill="1" applyBorder="1" applyAlignment="1">
      <alignment vertical="center"/>
    </xf>
    <xf numFmtId="176" fontId="4" fillId="0" borderId="12" xfId="4" applyNumberFormat="1" applyFont="1" applyFill="1" applyBorder="1" applyAlignment="1">
      <alignment vertical="center"/>
    </xf>
    <xf numFmtId="179" fontId="4" fillId="0" borderId="6" xfId="4" applyNumberFormat="1" applyFont="1" applyFill="1" applyBorder="1" applyAlignment="1">
      <alignment vertical="center"/>
    </xf>
    <xf numFmtId="179" fontId="4" fillId="0" borderId="1" xfId="4" applyNumberFormat="1" applyFont="1" applyFill="1" applyBorder="1" applyAlignment="1">
      <alignment vertical="center"/>
    </xf>
    <xf numFmtId="176" fontId="4" fillId="0" borderId="17" xfId="4" applyFont="1" applyFill="1" applyBorder="1" applyAlignment="1">
      <alignment vertical="center"/>
    </xf>
    <xf numFmtId="179" fontId="4" fillId="0" borderId="6" xfId="1" applyNumberFormat="1" applyFont="1" applyFill="1" applyBorder="1" applyAlignment="1">
      <alignment horizontal="center" vertical="center" shrinkToFit="1"/>
    </xf>
    <xf numFmtId="176" fontId="4" fillId="0" borderId="0" xfId="4" applyFont="1" applyFill="1" applyBorder="1" applyAlignment="1">
      <alignment vertical="center"/>
    </xf>
    <xf numFmtId="179" fontId="4" fillId="0" borderId="6" xfId="1" applyNumberFormat="1" applyFont="1" applyFill="1" applyBorder="1" applyAlignment="1">
      <alignment horizontal="right" vertical="center" shrinkToFit="1"/>
    </xf>
    <xf numFmtId="176" fontId="4" fillId="0" borderId="18" xfId="4" applyFont="1" applyFill="1" applyBorder="1" applyAlignment="1">
      <alignment vertical="center"/>
    </xf>
    <xf numFmtId="176" fontId="4" fillId="0" borderId="19" xfId="4" applyFont="1" applyFill="1" applyBorder="1" applyAlignment="1">
      <alignment vertical="center"/>
    </xf>
    <xf numFmtId="176" fontId="4" fillId="0" borderId="4" xfId="4" applyFont="1" applyFill="1" applyBorder="1" applyAlignment="1">
      <alignment vertical="center"/>
    </xf>
    <xf numFmtId="179" fontId="1" fillId="0" borderId="0" xfId="1" applyNumberFormat="1" applyFont="1" applyFill="1" applyAlignment="1">
      <alignment vertical="center"/>
    </xf>
    <xf numFmtId="49" fontId="8" fillId="0" borderId="0" xfId="5" applyNumberFormat="1" applyFont="1" applyFill="1" applyAlignment="1">
      <alignment vertical="center"/>
    </xf>
    <xf numFmtId="41" fontId="9" fillId="0" borderId="0" xfId="1" applyFont="1" applyFill="1" applyAlignment="1">
      <alignment horizontal="center" vertical="center" shrinkToFit="1"/>
    </xf>
    <xf numFmtId="41" fontId="9" fillId="0" borderId="0" xfId="1" applyFont="1" applyFill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34" xfId="5" applyFont="1" applyFill="1" applyBorder="1" applyAlignment="1">
      <alignment horizontal="center" vertical="center" shrinkToFit="1"/>
    </xf>
    <xf numFmtId="0" fontId="10" fillId="0" borderId="2" xfId="5" applyFont="1" applyFill="1" applyBorder="1" applyAlignment="1">
      <alignment horizontal="center" vertical="center" shrinkToFit="1"/>
    </xf>
    <xf numFmtId="180" fontId="11" fillId="0" borderId="26" xfId="6" applyFont="1" applyFill="1" applyBorder="1" applyAlignment="1">
      <alignment vertical="center"/>
    </xf>
    <xf numFmtId="180" fontId="11" fillId="0" borderId="39" xfId="6" applyFont="1" applyFill="1" applyBorder="1" applyAlignment="1">
      <alignment vertical="center"/>
    </xf>
    <xf numFmtId="176" fontId="10" fillId="0" borderId="39" xfId="3" applyFont="1" applyFill="1" applyBorder="1" applyAlignment="1">
      <alignment vertical="center"/>
    </xf>
    <xf numFmtId="49" fontId="12" fillId="0" borderId="40" xfId="5" applyNumberFormat="1" applyFont="1" applyFill="1" applyBorder="1" applyAlignment="1">
      <alignment vertical="center"/>
    </xf>
    <xf numFmtId="49" fontId="13" fillId="0" borderId="37" xfId="5" applyNumberFormat="1" applyFont="1" applyFill="1" applyBorder="1" applyAlignment="1">
      <alignment horizontal="center" vertical="center"/>
    </xf>
    <xf numFmtId="41" fontId="13" fillId="0" borderId="38" xfId="1" applyFont="1" applyFill="1" applyBorder="1" applyAlignment="1">
      <alignment horizontal="right" vertical="center"/>
    </xf>
    <xf numFmtId="178" fontId="10" fillId="0" borderId="41" xfId="1" applyNumberFormat="1" applyFont="1" applyFill="1" applyBorder="1" applyAlignment="1">
      <alignment vertical="center"/>
    </xf>
    <xf numFmtId="0" fontId="14" fillId="0" borderId="43" xfId="0" applyFont="1" applyFill="1" applyBorder="1" applyAlignment="1">
      <alignment horizontal="distributed" vertical="center"/>
    </xf>
    <xf numFmtId="0" fontId="14" fillId="0" borderId="44" xfId="7" applyFont="1" applyFill="1" applyBorder="1" applyAlignment="1">
      <alignment horizontal="distributed" vertical="center" shrinkToFit="1"/>
    </xf>
    <xf numFmtId="41" fontId="14" fillId="0" borderId="44" xfId="1" applyFont="1" applyFill="1" applyBorder="1" applyAlignment="1">
      <alignment horizontal="distributed" vertical="center" shrinkToFit="1"/>
    </xf>
    <xf numFmtId="180" fontId="14" fillId="0" borderId="18" xfId="6" applyFont="1" applyFill="1" applyBorder="1" applyAlignment="1">
      <alignment vertical="center"/>
    </xf>
    <xf numFmtId="180" fontId="14" fillId="0" borderId="0" xfId="7" applyNumberFormat="1" applyFont="1" applyBorder="1" applyAlignment="1">
      <alignment vertical="center"/>
    </xf>
    <xf numFmtId="0" fontId="8" fillId="0" borderId="5" xfId="7" applyFont="1" applyBorder="1" applyAlignment="1">
      <alignment vertical="center"/>
    </xf>
    <xf numFmtId="0" fontId="9" fillId="0" borderId="0" xfId="7" quotePrefix="1" applyFont="1" applyBorder="1" applyAlignment="1">
      <alignment horizontal="center" vertical="center"/>
    </xf>
    <xf numFmtId="180" fontId="14" fillId="0" borderId="30" xfId="6" applyFont="1" applyFill="1" applyBorder="1" applyAlignment="1">
      <alignment vertical="center"/>
    </xf>
    <xf numFmtId="0" fontId="15" fillId="0" borderId="45" xfId="7" applyFont="1" applyBorder="1" applyAlignment="1">
      <alignment vertical="center"/>
    </xf>
    <xf numFmtId="0" fontId="15" fillId="0" borderId="0" xfId="7" applyFont="1" applyAlignment="1">
      <alignment vertical="center"/>
    </xf>
    <xf numFmtId="0" fontId="14" fillId="0" borderId="2" xfId="0" applyFont="1" applyFill="1" applyBorder="1" applyAlignment="1">
      <alignment horizontal="distributed" vertical="center" shrinkToFit="1"/>
    </xf>
    <xf numFmtId="0" fontId="14" fillId="0" borderId="18" xfId="7" applyFont="1" applyFill="1" applyBorder="1" applyAlignment="1">
      <alignment horizontal="distributed" vertical="center"/>
    </xf>
    <xf numFmtId="41" fontId="14" fillId="0" borderId="18" xfId="1" applyFont="1" applyFill="1" applyBorder="1" applyAlignment="1">
      <alignment horizontal="distributed" vertical="center"/>
    </xf>
    <xf numFmtId="0" fontId="14" fillId="0" borderId="18" xfId="7" applyFont="1" applyFill="1" applyBorder="1" applyAlignment="1">
      <alignment horizontal="distributed" vertical="center" shrinkToFit="1"/>
    </xf>
    <xf numFmtId="41" fontId="14" fillId="0" borderId="18" xfId="1" applyFont="1" applyFill="1" applyBorder="1" applyAlignment="1">
      <alignment horizontal="distributed" vertical="center" shrinkToFit="1"/>
    </xf>
    <xf numFmtId="0" fontId="14" fillId="0" borderId="1" xfId="0" applyFont="1" applyFill="1" applyBorder="1" applyAlignment="1">
      <alignment horizontal="distributed" vertical="center"/>
    </xf>
    <xf numFmtId="41" fontId="9" fillId="0" borderId="2" xfId="1" applyFont="1" applyBorder="1" applyAlignment="1">
      <alignment vertical="center"/>
    </xf>
    <xf numFmtId="41" fontId="9" fillId="0" borderId="18" xfId="1" applyFont="1" applyBorder="1" applyAlignment="1">
      <alignment vertical="center"/>
    </xf>
    <xf numFmtId="0" fontId="11" fillId="0" borderId="48" xfId="7" applyFont="1" applyFill="1" applyBorder="1" applyAlignment="1">
      <alignment horizontal="center" vertical="center"/>
    </xf>
    <xf numFmtId="180" fontId="11" fillId="0" borderId="48" xfId="6" applyFont="1" applyFill="1" applyBorder="1" applyAlignment="1">
      <alignment vertical="center"/>
    </xf>
    <xf numFmtId="180" fontId="14" fillId="0" borderId="49" xfId="7" applyNumberFormat="1" applyFont="1" applyBorder="1" applyAlignment="1">
      <alignment vertical="center"/>
    </xf>
    <xf numFmtId="0" fontId="8" fillId="0" borderId="50" xfId="7" applyFont="1" applyBorder="1" applyAlignment="1">
      <alignment vertical="center"/>
    </xf>
    <xf numFmtId="0" fontId="9" fillId="0" borderId="51" xfId="7" applyFont="1" applyBorder="1" applyAlignment="1">
      <alignment horizontal="center" vertical="center"/>
    </xf>
    <xf numFmtId="41" fontId="9" fillId="0" borderId="48" xfId="1" applyFont="1" applyBorder="1" applyAlignment="1">
      <alignment vertical="center"/>
    </xf>
    <xf numFmtId="0" fontId="14" fillId="0" borderId="45" xfId="7" applyFont="1" applyBorder="1" applyAlignment="1">
      <alignment vertical="center"/>
    </xf>
    <xf numFmtId="0" fontId="14" fillId="0" borderId="0" xfId="7" applyFont="1" applyAlignment="1">
      <alignment vertical="center"/>
    </xf>
    <xf numFmtId="0" fontId="0" fillId="0" borderId="0" xfId="0" applyAlignment="1">
      <alignment horizontal="distributed" vertical="center" shrinkToFit="1"/>
    </xf>
    <xf numFmtId="180" fontId="14" fillId="0" borderId="11" xfId="6" applyFont="1" applyFill="1" applyBorder="1" applyAlignment="1">
      <alignment horizontal="center" vertical="center"/>
    </xf>
    <xf numFmtId="180" fontId="14" fillId="0" borderId="19" xfId="6" applyFont="1" applyFill="1" applyBorder="1" applyAlignment="1">
      <alignment horizontal="center" vertical="center"/>
    </xf>
    <xf numFmtId="180" fontId="14" fillId="0" borderId="2" xfId="6" applyFont="1" applyFill="1" applyBorder="1" applyAlignment="1">
      <alignment horizontal="center" vertical="center"/>
    </xf>
    <xf numFmtId="180" fontId="14" fillId="0" borderId="18" xfId="6" applyFont="1" applyFill="1" applyBorder="1" applyAlignment="1">
      <alignment horizontal="center" vertical="center"/>
    </xf>
    <xf numFmtId="0" fontId="14" fillId="0" borderId="12" xfId="7" applyFont="1" applyFill="1" applyBorder="1" applyAlignment="1">
      <alignment horizontal="center" vertical="center"/>
    </xf>
    <xf numFmtId="180" fontId="14" fillId="0" borderId="12" xfId="6" applyFont="1" applyFill="1" applyBorder="1" applyAlignment="1">
      <alignment vertical="center"/>
    </xf>
    <xf numFmtId="180" fontId="14" fillId="0" borderId="6" xfId="7" applyNumberFormat="1" applyFont="1" applyBorder="1" applyAlignment="1">
      <alignment vertical="center"/>
    </xf>
    <xf numFmtId="0" fontId="8" fillId="0" borderId="7" xfId="7" applyFont="1" applyBorder="1" applyAlignment="1">
      <alignment vertical="center"/>
    </xf>
    <xf numFmtId="0" fontId="9" fillId="0" borderId="8" xfId="7" applyFont="1" applyBorder="1" applyAlignment="1">
      <alignment horizontal="center" vertical="center"/>
    </xf>
    <xf numFmtId="0" fontId="14" fillId="0" borderId="17" xfId="7" applyFont="1" applyFill="1" applyBorder="1" applyAlignment="1">
      <alignment horizontal="distributed" vertical="center"/>
    </xf>
    <xf numFmtId="41" fontId="14" fillId="0" borderId="17" xfId="1" applyFont="1" applyFill="1" applyBorder="1" applyAlignment="1">
      <alignment horizontal="distributed" vertical="center"/>
    </xf>
    <xf numFmtId="180" fontId="14" fillId="0" borderId="17" xfId="6" applyFont="1" applyFill="1" applyBorder="1" applyAlignment="1">
      <alignment vertical="center"/>
    </xf>
    <xf numFmtId="41" fontId="9" fillId="0" borderId="12" xfId="1" applyFont="1" applyBorder="1" applyAlignment="1">
      <alignment vertical="center"/>
    </xf>
    <xf numFmtId="0" fontId="14" fillId="0" borderId="11" xfId="0" applyFont="1" applyFill="1" applyBorder="1" applyAlignment="1">
      <alignment horizontal="distributed" vertical="center"/>
    </xf>
    <xf numFmtId="0" fontId="14" fillId="0" borderId="19" xfId="7" applyFont="1" applyFill="1" applyBorder="1" applyAlignment="1">
      <alignment horizontal="distributed" vertical="center"/>
    </xf>
    <xf numFmtId="41" fontId="14" fillId="0" borderId="19" xfId="1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41" fontId="17" fillId="0" borderId="2" xfId="6" applyNumberFormat="1" applyFont="1" applyFill="1" applyBorder="1" applyAlignment="1">
      <alignment vertical="center"/>
    </xf>
    <xf numFmtId="41" fontId="17" fillId="0" borderId="18" xfId="6" applyNumberFormat="1" applyFont="1" applyFill="1" applyBorder="1" applyAlignment="1">
      <alignment vertical="center"/>
    </xf>
    <xf numFmtId="180" fontId="14" fillId="0" borderId="2" xfId="6" applyFont="1" applyFill="1" applyBorder="1" applyAlignment="1">
      <alignment vertical="center"/>
    </xf>
    <xf numFmtId="0" fontId="14" fillId="0" borderId="6" xfId="7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distributed" vertical="justify" shrinkToFit="1"/>
    </xf>
    <xf numFmtId="0" fontId="14" fillId="0" borderId="2" xfId="7" applyFont="1" applyFill="1" applyBorder="1" applyAlignment="1">
      <alignment horizontal="distributed" vertical="center" shrinkToFit="1"/>
    </xf>
    <xf numFmtId="41" fontId="14" fillId="0" borderId="0" xfId="1" applyFont="1" applyFill="1" applyBorder="1" applyAlignment="1">
      <alignment horizontal="distributed" vertical="justify" shrinkToFit="1"/>
    </xf>
    <xf numFmtId="0" fontId="14" fillId="0" borderId="8" xfId="7" applyFont="1" applyFill="1" applyBorder="1" applyAlignment="1">
      <alignment horizontal="center" vertical="center"/>
    </xf>
    <xf numFmtId="180" fontId="14" fillId="0" borderId="6" xfId="6" applyFont="1" applyFill="1" applyBorder="1" applyAlignment="1">
      <alignment vertical="center"/>
    </xf>
    <xf numFmtId="0" fontId="14" fillId="0" borderId="2" xfId="7" applyFont="1" applyFill="1" applyBorder="1" applyAlignment="1">
      <alignment horizontal="distributed" vertical="center"/>
    </xf>
    <xf numFmtId="41" fontId="14" fillId="0" borderId="11" xfId="1" applyFont="1" applyFill="1" applyBorder="1" applyAlignment="1">
      <alignment horizontal="distributed" vertical="center"/>
    </xf>
    <xf numFmtId="0" fontId="18" fillId="0" borderId="18" xfId="7" applyFont="1" applyFill="1" applyBorder="1" applyAlignment="1">
      <alignment horizontal="distributed" vertical="center"/>
    </xf>
    <xf numFmtId="41" fontId="18" fillId="0" borderId="18" xfId="1" applyFont="1" applyFill="1" applyBorder="1" applyAlignment="1">
      <alignment horizontal="distributed" vertical="center"/>
    </xf>
    <xf numFmtId="0" fontId="11" fillId="0" borderId="12" xfId="7" applyFont="1" applyFill="1" applyBorder="1" applyAlignment="1">
      <alignment horizontal="center" vertical="center"/>
    </xf>
    <xf numFmtId="180" fontId="11" fillId="0" borderId="12" xfId="6" applyFont="1" applyFill="1" applyBorder="1" applyAlignment="1">
      <alignment vertical="center"/>
    </xf>
    <xf numFmtId="180" fontId="11" fillId="0" borderId="6" xfId="7" applyNumberFormat="1" applyFont="1" applyBorder="1" applyAlignment="1">
      <alignment vertical="center"/>
    </xf>
    <xf numFmtId="0" fontId="12" fillId="0" borderId="7" xfId="7" applyFont="1" applyBorder="1" applyAlignment="1">
      <alignment vertical="center"/>
    </xf>
    <xf numFmtId="0" fontId="13" fillId="0" borderId="8" xfId="7" applyFont="1" applyBorder="1" applyAlignment="1">
      <alignment horizontal="center" vertical="center"/>
    </xf>
    <xf numFmtId="41" fontId="13" fillId="0" borderId="12" xfId="1" applyFont="1" applyBorder="1" applyAlignment="1">
      <alignment vertical="center"/>
    </xf>
    <xf numFmtId="0" fontId="11" fillId="0" borderId="45" xfId="7" applyFont="1" applyBorder="1" applyAlignment="1">
      <alignment vertical="center"/>
    </xf>
    <xf numFmtId="0" fontId="11" fillId="0" borderId="0" xfId="7" applyFont="1" applyAlignment="1">
      <alignment vertical="center"/>
    </xf>
    <xf numFmtId="180" fontId="14" fillId="0" borderId="19" xfId="6" applyFont="1" applyFill="1" applyBorder="1" applyAlignment="1">
      <alignment vertical="center"/>
    </xf>
    <xf numFmtId="0" fontId="8" fillId="0" borderId="9" xfId="7" applyFont="1" applyBorder="1" applyAlignment="1">
      <alignment vertical="center"/>
    </xf>
    <xf numFmtId="0" fontId="9" fillId="0" borderId="10" xfId="7" quotePrefix="1" applyFont="1" applyBorder="1" applyAlignment="1">
      <alignment horizontal="center" vertical="center"/>
    </xf>
    <xf numFmtId="0" fontId="11" fillId="0" borderId="18" xfId="7" applyFont="1" applyFill="1" applyBorder="1" applyAlignment="1">
      <alignment horizontal="distributed" vertical="center"/>
    </xf>
    <xf numFmtId="0" fontId="9" fillId="0" borderId="0" xfId="7" applyFont="1" applyBorder="1" applyAlignment="1">
      <alignment horizontal="center" vertical="center"/>
    </xf>
    <xf numFmtId="0" fontId="14" fillId="0" borderId="0" xfId="7" applyFont="1" applyBorder="1" applyAlignment="1">
      <alignment vertical="center"/>
    </xf>
    <xf numFmtId="0" fontId="11" fillId="0" borderId="55" xfId="7" applyFont="1" applyFill="1" applyBorder="1" applyAlignment="1">
      <alignment horizontal="center" vertical="center"/>
    </xf>
    <xf numFmtId="180" fontId="11" fillId="0" borderId="55" xfId="6" applyFont="1" applyFill="1" applyBorder="1" applyAlignment="1">
      <alignment vertical="center"/>
    </xf>
    <xf numFmtId="0" fontId="14" fillId="0" borderId="44" xfId="7" applyFont="1" applyFill="1" applyBorder="1" applyAlignment="1">
      <alignment horizontal="distributed" vertical="center"/>
    </xf>
    <xf numFmtId="0" fontId="14" fillId="0" borderId="56" xfId="7" applyFont="1" applyFill="1" applyBorder="1" applyAlignment="1">
      <alignment horizontal="distributed" vertical="center"/>
    </xf>
    <xf numFmtId="41" fontId="14" fillId="0" borderId="57" xfId="1" applyFont="1" applyFill="1" applyBorder="1" applyAlignment="1">
      <alignment horizontal="distributed" vertical="center"/>
    </xf>
    <xf numFmtId="180" fontId="14" fillId="0" borderId="57" xfId="6" applyFont="1" applyFill="1" applyBorder="1" applyAlignment="1">
      <alignment vertical="center"/>
    </xf>
    <xf numFmtId="180" fontId="14" fillId="0" borderId="58" xfId="7" applyNumberFormat="1" applyFont="1" applyBorder="1" applyAlignment="1">
      <alignment vertical="center"/>
    </xf>
    <xf numFmtId="0" fontId="9" fillId="0" borderId="58" xfId="7" applyFont="1" applyBorder="1" applyAlignment="1">
      <alignment horizontal="center" vertical="center"/>
    </xf>
    <xf numFmtId="41" fontId="9" fillId="0" borderId="57" xfId="1" applyFont="1" applyBorder="1" applyAlignment="1">
      <alignment vertical="center"/>
    </xf>
    <xf numFmtId="0" fontId="14" fillId="0" borderId="11" xfId="7" applyFont="1" applyFill="1" applyBorder="1" applyAlignment="1">
      <alignment horizontal="distributed" vertical="center"/>
    </xf>
    <xf numFmtId="180" fontId="14" fillId="0" borderId="5" xfId="7" applyNumberFormat="1" applyFont="1" applyBorder="1" applyAlignment="1">
      <alignment vertical="center"/>
    </xf>
    <xf numFmtId="0" fontId="14" fillId="0" borderId="9" xfId="0" applyFont="1" applyFill="1" applyBorder="1" applyAlignment="1">
      <alignment horizontal="distributed" vertical="center"/>
    </xf>
    <xf numFmtId="0" fontId="14" fillId="0" borderId="5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1" xfId="7" applyFont="1" applyFill="1" applyBorder="1" applyAlignment="1">
      <alignment horizontal="distributed" vertical="center"/>
    </xf>
    <xf numFmtId="0" fontId="14" fillId="0" borderId="4" xfId="7" applyFont="1" applyBorder="1" applyAlignment="1">
      <alignment vertical="center"/>
    </xf>
    <xf numFmtId="0" fontId="8" fillId="0" borderId="3" xfId="7" applyFont="1" applyBorder="1" applyAlignment="1">
      <alignment vertical="center"/>
    </xf>
    <xf numFmtId="41" fontId="9" fillId="0" borderId="17" xfId="1" applyFont="1" applyBorder="1" applyAlignment="1">
      <alignment vertical="center"/>
    </xf>
    <xf numFmtId="41" fontId="9" fillId="0" borderId="11" xfId="1" applyFont="1" applyBorder="1" applyAlignment="1">
      <alignment vertical="center"/>
    </xf>
    <xf numFmtId="0" fontId="19" fillId="0" borderId="5" xfId="0" applyFont="1" applyBorder="1">
      <alignment vertical="center"/>
    </xf>
    <xf numFmtId="0" fontId="14" fillId="0" borderId="0" xfId="7" quotePrefix="1" applyFont="1" applyBorder="1" applyAlignment="1">
      <alignment horizontal="center" vertical="center"/>
    </xf>
    <xf numFmtId="41" fontId="14" fillId="0" borderId="0" xfId="1" applyFont="1">
      <alignment vertical="center"/>
    </xf>
    <xf numFmtId="0" fontId="19" fillId="0" borderId="3" xfId="0" applyFont="1" applyBorder="1">
      <alignment vertical="center"/>
    </xf>
    <xf numFmtId="180" fontId="14" fillId="0" borderId="10" xfId="7" applyNumberFormat="1" applyFont="1" applyBorder="1" applyAlignment="1">
      <alignment vertical="center"/>
    </xf>
    <xf numFmtId="0" fontId="19" fillId="0" borderId="9" xfId="7" applyFont="1" applyFill="1" applyBorder="1" applyAlignment="1">
      <alignment horizontal="distributed" vertical="center"/>
    </xf>
    <xf numFmtId="41" fontId="9" fillId="0" borderId="19" xfId="1" applyFont="1" applyBorder="1" applyAlignment="1">
      <alignment vertical="center"/>
    </xf>
    <xf numFmtId="0" fontId="14" fillId="0" borderId="6" xfId="7" applyFont="1" applyFill="1" applyBorder="1" applyAlignment="1">
      <alignment horizontal="distributed" vertical="center" shrinkToFit="1"/>
    </xf>
    <xf numFmtId="41" fontId="14" fillId="0" borderId="12" xfId="1" applyFont="1" applyFill="1" applyBorder="1" applyAlignment="1">
      <alignment horizontal="distributed" vertical="center" shrinkToFit="1"/>
    </xf>
    <xf numFmtId="180" fontId="14" fillId="0" borderId="8" xfId="7" applyNumberFormat="1" applyFont="1" applyBorder="1" applyAlignment="1">
      <alignment vertical="center"/>
    </xf>
    <xf numFmtId="0" fontId="9" fillId="0" borderId="8" xfId="7" quotePrefix="1" applyFont="1" applyBorder="1" applyAlignment="1">
      <alignment horizontal="center" vertical="center"/>
    </xf>
    <xf numFmtId="0" fontId="9" fillId="0" borderId="4" xfId="7" quotePrefix="1" applyFont="1" applyBorder="1" applyAlignment="1">
      <alignment horizontal="center" vertical="center"/>
    </xf>
    <xf numFmtId="0" fontId="14" fillId="0" borderId="17" xfId="7" applyFont="1" applyFill="1" applyBorder="1" applyAlignment="1">
      <alignment horizontal="center" vertical="center"/>
    </xf>
    <xf numFmtId="180" fontId="14" fillId="0" borderId="11" xfId="7" applyNumberFormat="1" applyFont="1" applyBorder="1" applyAlignment="1">
      <alignment vertical="center"/>
    </xf>
    <xf numFmtId="0" fontId="18" fillId="0" borderId="9" xfId="7" applyFont="1" applyFill="1" applyBorder="1" applyAlignment="1">
      <alignment horizontal="distributed" vertical="center"/>
    </xf>
    <xf numFmtId="180" fontId="14" fillId="0" borderId="1" xfId="7" applyNumberFormat="1" applyFont="1" applyBorder="1" applyAlignment="1">
      <alignment vertical="center"/>
    </xf>
    <xf numFmtId="0" fontId="18" fillId="0" borderId="4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horizontal="distributed" vertical="center"/>
    </xf>
    <xf numFmtId="180" fontId="14" fillId="0" borderId="2" xfId="7" applyNumberFormat="1" applyFont="1" applyBorder="1" applyAlignment="1">
      <alignment vertical="center"/>
    </xf>
    <xf numFmtId="180" fontId="1" fillId="0" borderId="60" xfId="7" applyNumberFormat="1" applyFont="1" applyBorder="1"/>
    <xf numFmtId="0" fontId="8" fillId="0" borderId="61" xfId="7" applyFont="1" applyBorder="1"/>
    <xf numFmtId="0" fontId="9" fillId="0" borderId="60" xfId="7" applyFont="1" applyBorder="1" applyAlignment="1">
      <alignment horizontal="center"/>
    </xf>
    <xf numFmtId="41" fontId="9" fillId="0" borderId="55" xfId="1" applyFont="1" applyBorder="1" applyAlignment="1"/>
    <xf numFmtId="0" fontId="1" fillId="0" borderId="45" xfId="7" applyFont="1" applyBorder="1"/>
    <xf numFmtId="0" fontId="1" fillId="0" borderId="0" xfId="7" applyFont="1"/>
    <xf numFmtId="180" fontId="11" fillId="0" borderId="29" xfId="6" applyFont="1" applyFill="1" applyBorder="1" applyAlignment="1">
      <alignment vertical="center"/>
    </xf>
    <xf numFmtId="180" fontId="10" fillId="0" borderId="28" xfId="7" applyNumberFormat="1" applyFont="1" applyBorder="1"/>
    <xf numFmtId="0" fontId="12" fillId="0" borderId="27" xfId="7" applyFont="1" applyBorder="1"/>
    <xf numFmtId="0" fontId="13" fillId="0" borderId="28" xfId="7" applyFont="1" applyBorder="1" applyAlignment="1">
      <alignment horizontal="center"/>
    </xf>
    <xf numFmtId="41" fontId="13" fillId="0" borderId="29" xfId="1" applyFont="1" applyBorder="1" applyAlignment="1"/>
    <xf numFmtId="0" fontId="10" fillId="0" borderId="35" xfId="7" applyFont="1" applyBorder="1"/>
    <xf numFmtId="0" fontId="10" fillId="0" borderId="0" xfId="7" applyFont="1"/>
    <xf numFmtId="0" fontId="0" fillId="0" borderId="0" xfId="7" applyFont="1"/>
    <xf numFmtId="0" fontId="0" fillId="0" borderId="0" xfId="7" applyFont="1" applyAlignment="1"/>
    <xf numFmtId="41" fontId="0" fillId="0" borderId="0" xfId="1" applyFont="1" applyFill="1" applyAlignment="1"/>
    <xf numFmtId="180" fontId="0" fillId="0" borderId="0" xfId="7" applyNumberFormat="1" applyFont="1" applyFill="1"/>
    <xf numFmtId="0" fontId="8" fillId="0" borderId="0" xfId="7" applyFont="1"/>
    <xf numFmtId="0" fontId="9" fillId="0" borderId="0" xfId="7" applyFont="1" applyAlignment="1">
      <alignment horizontal="center"/>
    </xf>
    <xf numFmtId="41" fontId="9" fillId="0" borderId="0" xfId="1" applyFont="1" applyAlignment="1"/>
    <xf numFmtId="0" fontId="0" fillId="0" borderId="0" xfId="7" applyFont="1" applyFill="1"/>
    <xf numFmtId="0" fontId="13" fillId="0" borderId="0" xfId="5" applyFont="1" applyFill="1" applyBorder="1" applyAlignment="1">
      <alignment vertical="center"/>
    </xf>
    <xf numFmtId="0" fontId="13" fillId="0" borderId="63" xfId="5" applyFont="1" applyFill="1" applyBorder="1" applyAlignment="1">
      <alignment horizontal="center" vertical="center" shrinkToFit="1"/>
    </xf>
    <xf numFmtId="0" fontId="13" fillId="0" borderId="24" xfId="5" applyFont="1" applyFill="1" applyBorder="1" applyAlignment="1">
      <alignment horizontal="center" vertical="center" shrinkToFit="1"/>
    </xf>
    <xf numFmtId="0" fontId="13" fillId="0" borderId="53" xfId="5" applyFont="1" applyFill="1" applyBorder="1" applyAlignment="1">
      <alignment horizontal="center" vertical="center" shrinkToFit="1"/>
    </xf>
    <xf numFmtId="0" fontId="13" fillId="0" borderId="14" xfId="5" applyFont="1" applyFill="1" applyBorder="1" applyAlignment="1">
      <alignment horizontal="center" vertical="center" shrinkToFit="1"/>
    </xf>
    <xf numFmtId="41" fontId="13" fillId="0" borderId="14" xfId="1" applyFont="1" applyFill="1" applyBorder="1" applyAlignment="1">
      <alignment horizontal="center" vertical="center" shrinkToFit="1"/>
    </xf>
    <xf numFmtId="41" fontId="13" fillId="0" borderId="15" xfId="1" applyFont="1" applyFill="1" applyBorder="1" applyAlignment="1">
      <alignment vertical="center"/>
    </xf>
    <xf numFmtId="0" fontId="13" fillId="0" borderId="16" xfId="5" applyFont="1" applyFill="1" applyBorder="1" applyAlignment="1">
      <alignment horizontal="right" vertical="center" shrinkToFit="1"/>
    </xf>
    <xf numFmtId="41" fontId="13" fillId="0" borderId="26" xfId="1" applyFont="1" applyFill="1" applyBorder="1" applyAlignment="1">
      <alignment vertical="center"/>
    </xf>
    <xf numFmtId="41" fontId="13" fillId="0" borderId="33" xfId="1" applyFont="1" applyFill="1" applyBorder="1" applyAlignment="1">
      <alignment horizontal="center" vertical="center" shrinkToFit="1"/>
    </xf>
    <xf numFmtId="0" fontId="9" fillId="0" borderId="53" xfId="5" applyFont="1" applyFill="1" applyBorder="1" applyAlignment="1">
      <alignment horizontal="center" vertical="center" shrinkToFit="1"/>
    </xf>
    <xf numFmtId="0" fontId="9" fillId="0" borderId="2" xfId="5" applyFont="1" applyFill="1" applyBorder="1" applyAlignment="1">
      <alignment horizontal="center" vertical="center" shrinkToFit="1"/>
    </xf>
    <xf numFmtId="41" fontId="9" fillId="0" borderId="2" xfId="1" applyFont="1" applyFill="1" applyBorder="1" applyAlignment="1">
      <alignment vertical="center"/>
    </xf>
    <xf numFmtId="179" fontId="9" fillId="0" borderId="2" xfId="1" applyNumberFormat="1" applyFont="1" applyFill="1" applyBorder="1" applyAlignment="1">
      <alignment horizontal="right" vertical="center" shrinkToFit="1"/>
    </xf>
    <xf numFmtId="49" fontId="8" fillId="0" borderId="5" xfId="5" applyNumberFormat="1" applyFont="1" applyFill="1" applyBorder="1" applyAlignment="1">
      <alignment vertical="center"/>
    </xf>
    <xf numFmtId="0" fontId="9" fillId="0" borderId="0" xfId="5" quotePrefix="1" applyFont="1" applyFill="1" applyBorder="1" applyAlignment="1">
      <alignment horizontal="right" vertical="center" shrinkToFit="1"/>
    </xf>
    <xf numFmtId="41" fontId="9" fillId="0" borderId="18" xfId="1" applyFont="1" applyFill="1" applyBorder="1" applyAlignment="1">
      <alignment vertical="center"/>
    </xf>
    <xf numFmtId="179" fontId="9" fillId="0" borderId="45" xfId="1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9" fillId="0" borderId="1" xfId="5" applyFont="1" applyFill="1" applyBorder="1" applyAlignment="1">
      <alignment horizontal="center" vertical="center" shrinkToFit="1"/>
    </xf>
    <xf numFmtId="41" fontId="9" fillId="0" borderId="1" xfId="1" applyFont="1" applyFill="1" applyBorder="1" applyAlignment="1">
      <alignment vertical="center"/>
    </xf>
    <xf numFmtId="179" fontId="9" fillId="0" borderId="1" xfId="1" applyNumberFormat="1" applyFont="1" applyFill="1" applyBorder="1" applyAlignment="1">
      <alignment horizontal="right" vertical="center" shrinkToFit="1"/>
    </xf>
    <xf numFmtId="49" fontId="8" fillId="0" borderId="3" xfId="5" applyNumberFormat="1" applyFont="1" applyFill="1" applyBorder="1" applyAlignment="1">
      <alignment vertical="center"/>
    </xf>
    <xf numFmtId="0" fontId="9" fillId="0" borderId="4" xfId="5" quotePrefix="1" applyFont="1" applyFill="1" applyBorder="1" applyAlignment="1">
      <alignment horizontal="right" vertical="center" shrinkToFit="1"/>
    </xf>
    <xf numFmtId="41" fontId="9" fillId="0" borderId="17" xfId="1" applyFont="1" applyFill="1" applyBorder="1" applyAlignment="1">
      <alignment vertical="center"/>
    </xf>
    <xf numFmtId="0" fontId="9" fillId="0" borderId="11" xfId="5" applyFont="1" applyFill="1" applyBorder="1" applyAlignment="1">
      <alignment horizontal="center" vertical="center" shrinkToFit="1"/>
    </xf>
    <xf numFmtId="41" fontId="9" fillId="0" borderId="11" xfId="1" applyFont="1" applyFill="1" applyBorder="1" applyAlignment="1">
      <alignment vertical="center"/>
    </xf>
    <xf numFmtId="179" fontId="9" fillId="0" borderId="11" xfId="1" applyNumberFormat="1" applyFont="1" applyFill="1" applyBorder="1" applyAlignment="1">
      <alignment horizontal="right" vertical="center" shrinkToFit="1"/>
    </xf>
    <xf numFmtId="49" fontId="8" fillId="0" borderId="9" xfId="5" applyNumberFormat="1" applyFont="1" applyFill="1" applyBorder="1" applyAlignment="1">
      <alignment vertical="center"/>
    </xf>
    <xf numFmtId="0" fontId="9" fillId="0" borderId="10" xfId="5" quotePrefix="1" applyFont="1" applyFill="1" applyBorder="1" applyAlignment="1">
      <alignment horizontal="right" vertical="center" shrinkToFit="1"/>
    </xf>
    <xf numFmtId="41" fontId="9" fillId="0" borderId="19" xfId="1" applyFont="1" applyFill="1" applyBorder="1" applyAlignment="1">
      <alignment vertical="center"/>
    </xf>
    <xf numFmtId="179" fontId="9" fillId="0" borderId="1" xfId="1" applyNumberFormat="1" applyFont="1" applyFill="1" applyBorder="1" applyAlignment="1">
      <alignment vertical="center"/>
    </xf>
    <xf numFmtId="0" fontId="9" fillId="0" borderId="6" xfId="5" applyFont="1" applyFill="1" applyBorder="1" applyAlignment="1">
      <alignment horizontal="center" vertical="center" shrinkToFit="1"/>
    </xf>
    <xf numFmtId="41" fontId="9" fillId="0" borderId="6" xfId="1" applyFont="1" applyFill="1" applyBorder="1" applyAlignment="1">
      <alignment vertical="center"/>
    </xf>
    <xf numFmtId="49" fontId="8" fillId="0" borderId="7" xfId="5" applyNumberFormat="1" applyFont="1" applyFill="1" applyBorder="1" applyAlignment="1">
      <alignment vertical="center"/>
    </xf>
    <xf numFmtId="0" fontId="9" fillId="0" borderId="8" xfId="5" quotePrefix="1" applyFont="1" applyFill="1" applyBorder="1" applyAlignment="1">
      <alignment horizontal="right" vertical="center" shrinkToFit="1"/>
    </xf>
    <xf numFmtId="41" fontId="9" fillId="0" borderId="12" xfId="1" applyFont="1" applyFill="1" applyBorder="1" applyAlignment="1">
      <alignment vertical="center"/>
    </xf>
    <xf numFmtId="179" fontId="9" fillId="0" borderId="2" xfId="1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right" vertical="center" shrinkToFit="1"/>
    </xf>
    <xf numFmtId="49" fontId="8" fillId="0" borderId="0" xfId="5" applyNumberFormat="1" applyFont="1" applyFill="1" applyBorder="1" applyAlignment="1">
      <alignment vertical="center"/>
    </xf>
    <xf numFmtId="49" fontId="8" fillId="0" borderId="4" xfId="5" applyNumberFormat="1" applyFont="1" applyFill="1" applyBorder="1" applyAlignment="1">
      <alignment vertical="center"/>
    </xf>
    <xf numFmtId="49" fontId="8" fillId="0" borderId="8" xfId="5" applyNumberFormat="1" applyFont="1" applyFill="1" applyBorder="1" applyAlignment="1">
      <alignment vertical="center"/>
    </xf>
    <xf numFmtId="41" fontId="9" fillId="0" borderId="11" xfId="1" applyFont="1" applyFill="1" applyBorder="1" applyAlignment="1">
      <alignment horizontal="right" vertical="center" shrinkToFit="1"/>
    </xf>
    <xf numFmtId="0" fontId="13" fillId="0" borderId="64" xfId="5" applyFont="1" applyFill="1" applyBorder="1" applyAlignment="1">
      <alignment horizontal="center" vertical="center" shrinkToFit="1"/>
    </xf>
    <xf numFmtId="41" fontId="13" fillId="0" borderId="14" xfId="1" applyFont="1" applyFill="1" applyBorder="1" applyAlignment="1">
      <alignment vertical="center"/>
    </xf>
    <xf numFmtId="41" fontId="12" fillId="0" borderId="15" xfId="1" applyFont="1" applyFill="1" applyBorder="1" applyAlignment="1">
      <alignment vertical="center"/>
    </xf>
    <xf numFmtId="41" fontId="13" fillId="0" borderId="45" xfId="1" applyFont="1" applyFill="1" applyBorder="1" applyAlignment="1">
      <alignment vertical="center"/>
    </xf>
    <xf numFmtId="0" fontId="21" fillId="0" borderId="2" xfId="5" applyFont="1" applyFill="1" applyBorder="1" applyAlignment="1">
      <alignment horizontal="center" vertical="center" shrinkToFit="1"/>
    </xf>
    <xf numFmtId="41" fontId="8" fillId="0" borderId="5" xfId="1" applyFont="1" applyFill="1" applyBorder="1" applyAlignment="1">
      <alignment vertical="center"/>
    </xf>
    <xf numFmtId="0" fontId="21" fillId="0" borderId="5" xfId="5" applyFont="1" applyFill="1" applyBorder="1" applyAlignment="1">
      <alignment horizontal="left" vertical="center" shrinkToFit="1"/>
    </xf>
    <xf numFmtId="0" fontId="21" fillId="0" borderId="1" xfId="5" applyFont="1" applyFill="1" applyBorder="1" applyAlignment="1">
      <alignment horizontal="center" vertical="center" shrinkToFit="1"/>
    </xf>
    <xf numFmtId="41" fontId="8" fillId="0" borderId="3" xfId="1" applyFont="1" applyFill="1" applyBorder="1" applyAlignment="1">
      <alignment vertical="center"/>
    </xf>
    <xf numFmtId="0" fontId="9" fillId="0" borderId="4" xfId="5" applyFont="1" applyFill="1" applyBorder="1" applyAlignment="1">
      <alignment horizontal="right" vertical="center" shrinkToFit="1"/>
    </xf>
    <xf numFmtId="49" fontId="9" fillId="0" borderId="0" xfId="5" applyNumberFormat="1" applyFont="1" applyFill="1" applyBorder="1" applyAlignment="1">
      <alignment horizontal="right" vertical="center" shrinkToFit="1"/>
    </xf>
    <xf numFmtId="0" fontId="21" fillId="0" borderId="3" xfId="5" applyFont="1" applyFill="1" applyBorder="1" applyAlignment="1">
      <alignment horizontal="left" vertical="center" shrinkToFit="1"/>
    </xf>
    <xf numFmtId="49" fontId="9" fillId="0" borderId="4" xfId="5" applyNumberFormat="1" applyFont="1" applyFill="1" applyBorder="1" applyAlignment="1">
      <alignment horizontal="right" vertical="center" shrinkToFit="1"/>
    </xf>
    <xf numFmtId="0" fontId="9" fillId="0" borderId="3" xfId="5" applyFont="1" applyFill="1" applyBorder="1" applyAlignment="1">
      <alignment horizontal="left" vertical="center" shrinkToFit="1"/>
    </xf>
    <xf numFmtId="0" fontId="9" fillId="0" borderId="17" xfId="5" applyFont="1" applyFill="1" applyBorder="1" applyAlignment="1">
      <alignment horizontal="center" vertical="center" shrinkToFit="1"/>
    </xf>
    <xf numFmtId="0" fontId="21" fillId="0" borderId="18" xfId="5" applyFont="1" applyFill="1" applyBorder="1" applyAlignment="1">
      <alignment horizontal="center" vertical="center" shrinkToFit="1"/>
    </xf>
    <xf numFmtId="41" fontId="9" fillId="0" borderId="0" xfId="5" applyNumberFormat="1" applyFont="1" applyFill="1" applyBorder="1" applyAlignment="1">
      <alignment vertical="center"/>
    </xf>
    <xf numFmtId="14" fontId="9" fillId="0" borderId="2" xfId="5" applyNumberFormat="1" applyFont="1" applyFill="1" applyBorder="1" applyAlignment="1">
      <alignment horizontal="center" vertical="center" shrinkToFit="1"/>
    </xf>
    <xf numFmtId="0" fontId="9" fillId="0" borderId="53" xfId="5" applyFont="1" applyFill="1" applyBorder="1" applyAlignment="1">
      <alignment vertical="center"/>
    </xf>
    <xf numFmtId="41" fontId="9" fillId="0" borderId="18" xfId="1" applyFont="1" applyFill="1" applyBorder="1" applyAlignment="1">
      <alignment horizontal="center" vertical="center"/>
    </xf>
    <xf numFmtId="14" fontId="9" fillId="0" borderId="2" xfId="5" quotePrefix="1" applyNumberFormat="1" applyFont="1" applyFill="1" applyBorder="1" applyAlignment="1">
      <alignment horizontal="center" vertical="center" shrinkToFit="1"/>
    </xf>
    <xf numFmtId="0" fontId="22" fillId="0" borderId="2" xfId="5" applyFont="1" applyFill="1" applyBorder="1" applyAlignment="1">
      <alignment horizontal="center" vertical="center" shrinkToFit="1"/>
    </xf>
    <xf numFmtId="179" fontId="9" fillId="0" borderId="45" xfId="1" applyNumberFormat="1" applyFont="1" applyFill="1" applyBorder="1" applyAlignment="1">
      <alignment vertical="center" shrinkToFit="1"/>
    </xf>
    <xf numFmtId="41" fontId="23" fillId="0" borderId="2" xfId="1" applyFont="1" applyFill="1" applyBorder="1" applyAlignment="1">
      <alignment vertical="center"/>
    </xf>
    <xf numFmtId="0" fontId="9" fillId="0" borderId="18" xfId="5" applyFont="1" applyFill="1" applyBorder="1" applyAlignment="1">
      <alignment horizontal="center" vertical="center" shrinkToFit="1"/>
    </xf>
    <xf numFmtId="41" fontId="9" fillId="0" borderId="2" xfId="1" applyFont="1" applyFill="1" applyBorder="1" applyAlignment="1">
      <alignment horizontal="center" vertical="center" shrinkToFit="1"/>
    </xf>
    <xf numFmtId="49" fontId="8" fillId="0" borderId="5" xfId="5" applyNumberFormat="1" applyFont="1" applyFill="1" applyBorder="1" applyAlignment="1">
      <alignment horizontal="left" vertical="center"/>
    </xf>
    <xf numFmtId="0" fontId="9" fillId="0" borderId="2" xfId="5" quotePrefix="1" applyFont="1" applyFill="1" applyBorder="1" applyAlignment="1">
      <alignment horizontal="center" vertical="center" shrinkToFit="1"/>
    </xf>
    <xf numFmtId="41" fontId="9" fillId="0" borderId="18" xfId="5" applyNumberFormat="1" applyFont="1" applyFill="1" applyBorder="1" applyAlignment="1">
      <alignment horizontal="center" vertical="center" shrinkToFit="1"/>
    </xf>
    <xf numFmtId="0" fontId="8" fillId="0" borderId="5" xfId="5" applyFont="1" applyFill="1" applyBorder="1" applyAlignment="1">
      <alignment horizontal="left" vertical="center" shrinkToFit="1"/>
    </xf>
    <xf numFmtId="0" fontId="8" fillId="0" borderId="0" xfId="5" applyFont="1" applyFill="1" applyBorder="1" applyAlignment="1">
      <alignment horizontal="left" vertical="center" shrinkToFit="1"/>
    </xf>
    <xf numFmtId="0" fontId="9" fillId="0" borderId="65" xfId="5" applyFont="1" applyFill="1" applyBorder="1" applyAlignment="1">
      <alignment horizontal="center" vertical="center" shrinkToFit="1"/>
    </xf>
    <xf numFmtId="0" fontId="9" fillId="0" borderId="24" xfId="5" quotePrefix="1" applyFont="1" applyFill="1" applyBorder="1" applyAlignment="1">
      <alignment horizontal="center" vertical="center" shrinkToFit="1"/>
    </xf>
    <xf numFmtId="0" fontId="9" fillId="0" borderId="24" xfId="5" applyFont="1" applyFill="1" applyBorder="1" applyAlignment="1">
      <alignment horizontal="center" vertical="center" shrinkToFit="1"/>
    </xf>
    <xf numFmtId="41" fontId="9" fillId="0" borderId="24" xfId="1" applyFont="1" applyFill="1" applyBorder="1" applyAlignment="1">
      <alignment horizontal="center" vertical="center" shrinkToFit="1"/>
    </xf>
    <xf numFmtId="41" fontId="9" fillId="0" borderId="24" xfId="5" applyNumberFormat="1" applyFont="1" applyFill="1" applyBorder="1" applyAlignment="1">
      <alignment horizontal="center" vertical="center" shrinkToFit="1"/>
    </xf>
    <xf numFmtId="179" fontId="9" fillId="0" borderId="24" xfId="1" applyNumberFormat="1" applyFont="1" applyFill="1" applyBorder="1" applyAlignment="1">
      <alignment vertical="center"/>
    </xf>
    <xf numFmtId="49" fontId="8" fillId="0" borderId="27" xfId="5" applyNumberFormat="1" applyFont="1" applyFill="1" applyBorder="1" applyAlignment="1">
      <alignment horizontal="left" vertical="center"/>
    </xf>
    <xf numFmtId="49" fontId="9" fillId="0" borderId="28" xfId="5" applyNumberFormat="1" applyFont="1" applyFill="1" applyBorder="1" applyAlignment="1">
      <alignment horizontal="right" vertical="center" shrinkToFit="1"/>
    </xf>
    <xf numFmtId="41" fontId="9" fillId="0" borderId="29" xfId="1" applyFont="1" applyFill="1" applyBorder="1" applyAlignment="1">
      <alignment vertical="center"/>
    </xf>
    <xf numFmtId="41" fontId="13" fillId="0" borderId="24" xfId="1" applyFont="1" applyFill="1" applyBorder="1" applyAlignment="1">
      <alignment vertical="center"/>
    </xf>
    <xf numFmtId="49" fontId="12" fillId="0" borderId="27" xfId="5" applyNumberFormat="1" applyFont="1" applyFill="1" applyBorder="1" applyAlignment="1">
      <alignment vertical="center"/>
    </xf>
    <xf numFmtId="0" fontId="13" fillId="0" borderId="28" xfId="5" applyFont="1" applyFill="1" applyBorder="1" applyAlignment="1">
      <alignment horizontal="right" vertical="center" shrinkToFit="1"/>
    </xf>
    <xf numFmtId="41" fontId="13" fillId="0" borderId="29" xfId="1" applyFont="1" applyFill="1" applyBorder="1" applyAlignment="1">
      <alignment vertical="center"/>
    </xf>
    <xf numFmtId="179" fontId="13" fillId="0" borderId="45" xfId="1" applyNumberFormat="1" applyFont="1" applyFill="1" applyBorder="1" applyAlignment="1">
      <alignment vertical="center"/>
    </xf>
    <xf numFmtId="0" fontId="8" fillId="0" borderId="3" xfId="5" applyFont="1" applyFill="1" applyBorder="1" applyAlignment="1">
      <alignment horizontal="left" vertical="center" shrinkToFit="1"/>
    </xf>
    <xf numFmtId="0" fontId="21" fillId="0" borderId="17" xfId="5" applyFont="1" applyFill="1" applyBorder="1" applyAlignment="1">
      <alignment horizontal="center" vertical="center" shrinkToFit="1"/>
    </xf>
    <xf numFmtId="0" fontId="8" fillId="0" borderId="9" xfId="5" applyFont="1" applyFill="1" applyBorder="1" applyAlignment="1">
      <alignment horizontal="left" vertical="center" shrinkToFit="1"/>
    </xf>
    <xf numFmtId="179" fontId="9" fillId="0" borderId="6" xfId="1" applyNumberFormat="1" applyFont="1" applyFill="1" applyBorder="1" applyAlignment="1">
      <alignment horizontal="right" vertical="center" shrinkToFit="1"/>
    </xf>
    <xf numFmtId="0" fontId="8" fillId="0" borderId="7" xfId="5" applyFont="1" applyFill="1" applyBorder="1" applyAlignment="1">
      <alignment horizontal="left" vertical="center" shrinkToFit="1"/>
    </xf>
    <xf numFmtId="41" fontId="9" fillId="0" borderId="2" xfId="1" applyFont="1" applyFill="1" applyBorder="1" applyAlignment="1">
      <alignment horizontal="right" vertical="center" shrinkToFit="1"/>
    </xf>
    <xf numFmtId="41" fontId="9" fillId="0" borderId="6" xfId="1" applyFont="1" applyFill="1" applyBorder="1" applyAlignment="1">
      <alignment horizontal="right" vertical="center" shrinkToFit="1"/>
    </xf>
    <xf numFmtId="49" fontId="12" fillId="0" borderId="15" xfId="5" applyNumberFormat="1" applyFont="1" applyFill="1" applyBorder="1" applyAlignment="1">
      <alignment vertical="center"/>
    </xf>
    <xf numFmtId="180" fontId="10" fillId="0" borderId="5" xfId="6" applyFont="1" applyFill="1" applyBorder="1"/>
    <xf numFmtId="180" fontId="11" fillId="0" borderId="5" xfId="6" applyFont="1" applyFill="1" applyBorder="1" applyAlignment="1"/>
    <xf numFmtId="180" fontId="17" fillId="0" borderId="18" xfId="6" applyFont="1" applyFill="1" applyBorder="1"/>
    <xf numFmtId="180" fontId="14" fillId="0" borderId="18" xfId="6" applyFont="1" applyFill="1" applyBorder="1" applyAlignment="1">
      <alignment horizontal="right" vertical="center"/>
    </xf>
    <xf numFmtId="180" fontId="0" fillId="0" borderId="5" xfId="6" applyFont="1" applyFill="1" applyBorder="1" applyAlignment="1"/>
    <xf numFmtId="180" fontId="11" fillId="0" borderId="5" xfId="6" applyFont="1" applyFill="1" applyBorder="1" applyAlignment="1">
      <alignment vertical="center"/>
    </xf>
    <xf numFmtId="41" fontId="9" fillId="0" borderId="24" xfId="1" applyFont="1" applyFill="1" applyBorder="1" applyAlignment="1">
      <alignment vertical="center"/>
    </xf>
    <xf numFmtId="179" fontId="9" fillId="0" borderId="24" xfId="1" applyNumberFormat="1" applyFont="1" applyFill="1" applyBorder="1" applyAlignment="1">
      <alignment horizontal="right" vertical="center" shrinkToFit="1"/>
    </xf>
    <xf numFmtId="49" fontId="8" fillId="0" borderId="27" xfId="5" applyNumberFormat="1" applyFont="1" applyFill="1" applyBorder="1" applyAlignment="1">
      <alignment vertical="center"/>
    </xf>
    <xf numFmtId="0" fontId="9" fillId="0" borderId="28" xfId="5" quotePrefix="1" applyFont="1" applyFill="1" applyBorder="1" applyAlignment="1">
      <alignment horizontal="right" vertical="center" shrinkToFit="1"/>
    </xf>
    <xf numFmtId="0" fontId="13" fillId="0" borderId="13" xfId="5" applyFont="1" applyFill="1" applyBorder="1" applyAlignment="1">
      <alignment horizontal="center" vertical="center" shrinkToFit="1"/>
    </xf>
    <xf numFmtId="179" fontId="13" fillId="0" borderId="14" xfId="1" applyNumberFormat="1" applyFont="1" applyFill="1" applyBorder="1" applyAlignment="1">
      <alignment horizontal="right" vertical="center" shrinkToFit="1"/>
    </xf>
    <xf numFmtId="179" fontId="13" fillId="0" borderId="35" xfId="1" applyNumberFormat="1" applyFont="1" applyFill="1" applyBorder="1" applyAlignment="1">
      <alignment vertical="center"/>
    </xf>
    <xf numFmtId="0" fontId="13" fillId="0" borderId="0" xfId="5" applyFont="1" applyFill="1" applyBorder="1" applyAlignment="1">
      <alignment horizontal="center" vertical="center" shrinkToFit="1"/>
    </xf>
    <xf numFmtId="41" fontId="13" fillId="0" borderId="0" xfId="1" applyFont="1" applyFill="1" applyBorder="1" applyAlignment="1">
      <alignment vertical="center"/>
    </xf>
    <xf numFmtId="179" fontId="13" fillId="0" borderId="0" xfId="1" applyNumberFormat="1" applyFont="1" applyFill="1" applyBorder="1" applyAlignment="1">
      <alignment horizontal="right" vertical="center" shrinkToFit="1"/>
    </xf>
    <xf numFmtId="49" fontId="12" fillId="0" borderId="0" xfId="5" applyNumberFormat="1" applyFont="1" applyFill="1" applyBorder="1" applyAlignment="1">
      <alignment vertical="center"/>
    </xf>
    <xf numFmtId="0" fontId="13" fillId="0" borderId="0" xfId="5" applyFont="1" applyFill="1" applyBorder="1" applyAlignment="1">
      <alignment horizontal="right" vertical="center" shrinkToFit="1"/>
    </xf>
    <xf numFmtId="179" fontId="13" fillId="0" borderId="0" xfId="1" applyNumberFormat="1" applyFont="1" applyFill="1" applyBorder="1" applyAlignment="1">
      <alignment vertical="center"/>
    </xf>
    <xf numFmtId="0" fontId="14" fillId="0" borderId="9" xfId="7" applyFont="1" applyFill="1" applyBorder="1" applyAlignment="1">
      <alignment horizontal="distributed" vertical="center"/>
    </xf>
    <xf numFmtId="0" fontId="14" fillId="0" borderId="5" xfId="7" applyFont="1" applyFill="1" applyBorder="1" applyAlignment="1">
      <alignment horizontal="distributed" vertical="center"/>
    </xf>
    <xf numFmtId="180" fontId="14" fillId="0" borderId="43" xfId="7" applyNumberFormat="1" applyFont="1" applyBorder="1" applyAlignment="1">
      <alignment horizontal="center" vertical="center"/>
    </xf>
    <xf numFmtId="180" fontId="14" fillId="0" borderId="2" xfId="7" applyNumberFormat="1" applyFont="1" applyBorder="1" applyAlignment="1">
      <alignment horizontal="center" vertical="center"/>
    </xf>
    <xf numFmtId="180" fontId="14" fillId="0" borderId="1" xfId="7" applyNumberFormat="1" applyFont="1" applyBorder="1" applyAlignment="1">
      <alignment horizontal="center" vertical="center"/>
    </xf>
    <xf numFmtId="0" fontId="3" fillId="0" borderId="0" xfId="5" applyFont="1" applyFill="1" applyAlignment="1">
      <alignment horizontal="center" vertical="center" shrinkToFit="1"/>
    </xf>
    <xf numFmtId="0" fontId="10" fillId="0" borderId="32" xfId="5" applyFont="1" applyFill="1" applyBorder="1" applyAlignment="1">
      <alignment horizontal="center" vertical="center" shrinkToFit="1"/>
    </xf>
    <xf numFmtId="0" fontId="10" fillId="0" borderId="22" xfId="5" applyFont="1" applyFill="1" applyBorder="1" applyAlignment="1">
      <alignment horizontal="center" vertical="center" shrinkToFit="1"/>
    </xf>
    <xf numFmtId="0" fontId="10" fillId="0" borderId="23" xfId="5" applyFont="1" applyFill="1" applyBorder="1" applyAlignment="1">
      <alignment horizontal="center" vertical="center" shrinkToFit="1"/>
    </xf>
    <xf numFmtId="41" fontId="10" fillId="0" borderId="25" xfId="1" applyFont="1" applyFill="1" applyBorder="1" applyAlignment="1">
      <alignment horizontal="center" vertical="center"/>
    </xf>
    <xf numFmtId="41" fontId="10" fillId="0" borderId="24" xfId="1" applyFont="1" applyFill="1" applyBorder="1" applyAlignment="1">
      <alignment horizontal="center" vertical="center"/>
    </xf>
    <xf numFmtId="179" fontId="10" fillId="0" borderId="25" xfId="1" applyNumberFormat="1" applyFont="1" applyFill="1" applyBorder="1" applyAlignment="1">
      <alignment horizontal="center" vertical="center"/>
    </xf>
    <xf numFmtId="179" fontId="10" fillId="0" borderId="24" xfId="1" applyNumberFormat="1" applyFont="1" applyFill="1" applyBorder="1" applyAlignment="1">
      <alignment horizontal="center" vertical="center"/>
    </xf>
    <xf numFmtId="49" fontId="10" fillId="0" borderId="21" xfId="5" applyNumberFormat="1" applyFont="1" applyFill="1" applyBorder="1" applyAlignment="1">
      <alignment horizontal="center" vertical="center"/>
    </xf>
    <xf numFmtId="49" fontId="10" fillId="0" borderId="30" xfId="5" applyNumberFormat="1" applyFont="1" applyFill="1" applyBorder="1" applyAlignment="1">
      <alignment horizontal="center" vertical="center"/>
    </xf>
    <xf numFmtId="49" fontId="10" fillId="0" borderId="28" xfId="5" applyNumberFormat="1" applyFont="1" applyFill="1" applyBorder="1" applyAlignment="1">
      <alignment horizontal="center" vertical="center"/>
    </xf>
    <xf numFmtId="49" fontId="10" fillId="0" borderId="29" xfId="5" applyNumberFormat="1" applyFont="1" applyFill="1" applyBorder="1" applyAlignment="1">
      <alignment horizontal="center" vertical="center"/>
    </xf>
    <xf numFmtId="179" fontId="10" fillId="0" borderId="33" xfId="1" applyNumberFormat="1" applyFont="1" applyFill="1" applyBorder="1" applyAlignment="1">
      <alignment horizontal="center" vertical="center"/>
    </xf>
    <xf numFmtId="179" fontId="10" fillId="0" borderId="35" xfId="1" applyNumberFormat="1" applyFont="1" applyFill="1" applyBorder="1" applyAlignment="1">
      <alignment horizontal="center" vertical="center"/>
    </xf>
    <xf numFmtId="0" fontId="11" fillId="0" borderId="42" xfId="7" applyFont="1" applyFill="1" applyBorder="1" applyAlignment="1">
      <alignment horizontal="center" vertical="center" textRotation="255"/>
    </xf>
    <xf numFmtId="0" fontId="11" fillId="0" borderId="46" xfId="7" applyFont="1" applyFill="1" applyBorder="1" applyAlignment="1">
      <alignment horizontal="center" vertical="center" textRotation="255"/>
    </xf>
    <xf numFmtId="0" fontId="11" fillId="0" borderId="54" xfId="7" applyFont="1" applyFill="1" applyBorder="1" applyAlignment="1">
      <alignment horizontal="center" vertical="center" textRotation="255"/>
    </xf>
    <xf numFmtId="0" fontId="11" fillId="0" borderId="34" xfId="7" applyFont="1" applyFill="1" applyBorder="1" applyAlignment="1">
      <alignment horizontal="center" vertical="center" textRotation="255"/>
    </xf>
    <xf numFmtId="0" fontId="11" fillId="0" borderId="53" xfId="7" applyFont="1" applyFill="1" applyBorder="1" applyAlignment="1">
      <alignment horizontal="center" vertical="center" textRotation="255"/>
    </xf>
    <xf numFmtId="0" fontId="11" fillId="0" borderId="47" xfId="7" applyFont="1" applyFill="1" applyBorder="1" applyAlignment="1">
      <alignment horizontal="center" vertical="center" textRotation="255"/>
    </xf>
    <xf numFmtId="0" fontId="11" fillId="0" borderId="52" xfId="7" applyFont="1" applyFill="1" applyBorder="1" applyAlignment="1">
      <alignment horizontal="center" vertical="center" textRotation="255" shrinkToFit="1"/>
    </xf>
    <xf numFmtId="0" fontId="11" fillId="0" borderId="53" xfId="7" applyFont="1" applyFill="1" applyBorder="1" applyAlignment="1">
      <alignment horizontal="center" vertical="center" textRotation="255" shrinkToFit="1"/>
    </xf>
    <xf numFmtId="0" fontId="11" fillId="0" borderId="47" xfId="7" applyFont="1" applyFill="1" applyBorder="1" applyAlignment="1">
      <alignment horizontal="center" vertical="center" textRotation="255" shrinkToFit="1"/>
    </xf>
    <xf numFmtId="0" fontId="11" fillId="0" borderId="62" xfId="7" applyFont="1" applyFill="1" applyBorder="1" applyAlignment="1">
      <alignment horizontal="center" vertical="center"/>
    </xf>
    <xf numFmtId="0" fontId="11" fillId="0" borderId="28" xfId="7" applyFont="1" applyFill="1" applyBorder="1" applyAlignment="1">
      <alignment horizontal="center" vertical="center"/>
    </xf>
    <xf numFmtId="0" fontId="11" fillId="0" borderId="29" xfId="7" applyFont="1" applyFill="1" applyBorder="1" applyAlignment="1">
      <alignment horizontal="center" vertical="center"/>
    </xf>
    <xf numFmtId="41" fontId="14" fillId="0" borderId="43" xfId="1" applyFont="1" applyFill="1" applyBorder="1" applyAlignment="1">
      <alignment horizontal="right" vertical="center" shrinkToFit="1"/>
    </xf>
    <xf numFmtId="41" fontId="14" fillId="0" borderId="2" xfId="1" applyFont="1" applyFill="1" applyBorder="1" applyAlignment="1">
      <alignment horizontal="right" vertical="center" shrinkToFit="1"/>
    </xf>
    <xf numFmtId="41" fontId="14" fillId="0" borderId="1" xfId="1" applyFont="1" applyFill="1" applyBorder="1" applyAlignment="1">
      <alignment horizontal="right" vertical="center" shrinkToFit="1"/>
    </xf>
    <xf numFmtId="0" fontId="10" fillId="0" borderId="36" xfId="5" applyFont="1" applyFill="1" applyBorder="1" applyAlignment="1">
      <alignment horizontal="center" vertical="center" shrinkToFit="1"/>
    </xf>
    <xf numFmtId="0" fontId="10" fillId="0" borderId="37" xfId="5" applyFont="1" applyFill="1" applyBorder="1" applyAlignment="1">
      <alignment horizontal="center" vertical="center" shrinkToFit="1"/>
    </xf>
    <xf numFmtId="0" fontId="10" fillId="0" borderId="38" xfId="5" applyFont="1" applyFill="1" applyBorder="1" applyAlignment="1">
      <alignment horizontal="center" vertical="center" shrinkToFit="1"/>
    </xf>
    <xf numFmtId="0" fontId="11" fillId="0" borderId="52" xfId="7" applyFont="1" applyFill="1" applyBorder="1" applyAlignment="1">
      <alignment horizontal="center" vertical="center" textRotation="255"/>
    </xf>
    <xf numFmtId="0" fontId="14" fillId="0" borderId="43" xfId="7" applyFont="1" applyFill="1" applyBorder="1" applyAlignment="1">
      <alignment horizontal="center" vertical="center" shrinkToFit="1"/>
    </xf>
    <xf numFmtId="0" fontId="14" fillId="0" borderId="2" xfId="7" applyFont="1" applyFill="1" applyBorder="1" applyAlignment="1">
      <alignment horizontal="center" vertical="center" shrinkToFit="1"/>
    </xf>
    <xf numFmtId="0" fontId="14" fillId="0" borderId="1" xfId="7" applyFont="1" applyFill="1" applyBorder="1" applyAlignment="1">
      <alignment horizontal="center" vertical="center" shrinkToFit="1"/>
    </xf>
    <xf numFmtId="179" fontId="4" fillId="0" borderId="1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49" fontId="2" fillId="0" borderId="5" xfId="5" applyNumberFormat="1" applyFont="1" applyFill="1" applyBorder="1" applyAlignment="1">
      <alignment horizontal="right" vertical="center" shrinkToFit="1"/>
    </xf>
    <xf numFmtId="49" fontId="2" fillId="0" borderId="0" xfId="5" applyNumberFormat="1" applyFont="1" applyFill="1" applyBorder="1" applyAlignment="1">
      <alignment horizontal="right" vertical="center" shrinkToFit="1"/>
    </xf>
    <xf numFmtId="49" fontId="4" fillId="0" borderId="3" xfId="5" applyNumberFormat="1" applyFont="1" applyFill="1" applyBorder="1" applyAlignment="1">
      <alignment horizontal="right" vertical="center" shrinkToFit="1"/>
    </xf>
    <xf numFmtId="49" fontId="4" fillId="0" borderId="4" xfId="5" applyNumberFormat="1" applyFont="1" applyFill="1" applyBorder="1" applyAlignment="1">
      <alignment horizontal="right" vertical="center" shrinkToFit="1"/>
    </xf>
    <xf numFmtId="0" fontId="4" fillId="0" borderId="7" xfId="5" applyFont="1" applyFill="1" applyBorder="1" applyAlignment="1">
      <alignment horizontal="center" vertical="center" shrinkToFit="1"/>
    </xf>
    <xf numFmtId="0" fontId="4" fillId="0" borderId="8" xfId="5" applyFont="1" applyFill="1" applyBorder="1" applyAlignment="1">
      <alignment horizontal="center" vertical="center" shrinkToFit="1"/>
    </xf>
    <xf numFmtId="0" fontId="4" fillId="0" borderId="12" xfId="5" applyFont="1" applyFill="1" applyBorder="1" applyAlignment="1">
      <alignment horizontal="center" vertical="center" shrinkToFit="1"/>
    </xf>
    <xf numFmtId="49" fontId="4" fillId="0" borderId="9" xfId="5" applyNumberFormat="1" applyFont="1" applyFill="1" applyBorder="1" applyAlignment="1">
      <alignment horizontal="center" vertical="center"/>
    </xf>
    <xf numFmtId="49" fontId="4" fillId="0" borderId="10" xfId="5" applyNumberFormat="1" applyFont="1" applyFill="1" applyBorder="1" applyAlignment="1">
      <alignment horizontal="center" vertical="center"/>
    </xf>
    <xf numFmtId="49" fontId="4" fillId="0" borderId="19" xfId="5" applyNumberFormat="1" applyFont="1" applyFill="1" applyBorder="1" applyAlignment="1">
      <alignment horizontal="center" vertical="center"/>
    </xf>
    <xf numFmtId="49" fontId="4" fillId="0" borderId="3" xfId="5" applyNumberFormat="1" applyFont="1" applyFill="1" applyBorder="1" applyAlignment="1">
      <alignment horizontal="center" vertical="center"/>
    </xf>
    <xf numFmtId="49" fontId="4" fillId="0" borderId="4" xfId="5" applyNumberFormat="1" applyFont="1" applyFill="1" applyBorder="1" applyAlignment="1">
      <alignment horizontal="center"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1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13" fillId="0" borderId="66" xfId="5" applyFont="1" applyFill="1" applyBorder="1" applyAlignment="1">
      <alignment horizontal="center" vertical="center" shrinkToFit="1"/>
    </xf>
    <xf numFmtId="0" fontId="13" fillId="0" borderId="16" xfId="5" applyFont="1" applyFill="1" applyBorder="1" applyAlignment="1">
      <alignment horizontal="center" vertical="center" shrinkToFit="1"/>
    </xf>
    <xf numFmtId="0" fontId="13" fillId="0" borderId="26" xfId="5" applyFont="1" applyFill="1" applyBorder="1" applyAlignment="1">
      <alignment horizontal="center" vertical="center" shrinkToFit="1"/>
    </xf>
    <xf numFmtId="41" fontId="13" fillId="0" borderId="25" xfId="1" applyFont="1" applyFill="1" applyBorder="1" applyAlignment="1">
      <alignment horizontal="center" vertical="center"/>
    </xf>
    <xf numFmtId="41" fontId="13" fillId="0" borderId="24" xfId="1" applyFont="1" applyFill="1" applyBorder="1" applyAlignment="1">
      <alignment horizontal="center" vertical="center"/>
    </xf>
    <xf numFmtId="0" fontId="13" fillId="0" borderId="32" xfId="5" applyFont="1" applyFill="1" applyBorder="1" applyAlignment="1">
      <alignment horizontal="center" vertical="center" shrinkToFit="1"/>
    </xf>
    <xf numFmtId="0" fontId="13" fillId="0" borderId="22" xfId="5" applyFont="1" applyFill="1" applyBorder="1" applyAlignment="1">
      <alignment horizontal="center" vertical="center" shrinkToFit="1"/>
    </xf>
    <xf numFmtId="0" fontId="13" fillId="0" borderId="23" xfId="5" applyFont="1" applyFill="1" applyBorder="1" applyAlignment="1">
      <alignment horizontal="center" vertical="center" shrinkToFit="1"/>
    </xf>
    <xf numFmtId="179" fontId="13" fillId="0" borderId="25" xfId="1" applyNumberFormat="1" applyFont="1" applyFill="1" applyBorder="1" applyAlignment="1">
      <alignment horizontal="center" vertical="center"/>
    </xf>
    <xf numFmtId="179" fontId="13" fillId="0" borderId="24" xfId="1" applyNumberFormat="1" applyFont="1" applyFill="1" applyBorder="1" applyAlignment="1">
      <alignment horizontal="center" vertical="center"/>
    </xf>
    <xf numFmtId="49" fontId="13" fillId="0" borderId="31" xfId="5" applyNumberFormat="1" applyFont="1" applyFill="1" applyBorder="1" applyAlignment="1">
      <alignment horizontal="center" vertical="center"/>
    </xf>
    <xf numFmtId="49" fontId="13" fillId="0" borderId="21" xfId="5" applyNumberFormat="1" applyFont="1" applyFill="1" applyBorder="1" applyAlignment="1">
      <alignment horizontal="center" vertical="center"/>
    </xf>
    <xf numFmtId="49" fontId="13" fillId="0" borderId="30" xfId="5" applyNumberFormat="1" applyFont="1" applyFill="1" applyBorder="1" applyAlignment="1">
      <alignment horizontal="center" vertical="center"/>
    </xf>
    <xf numFmtId="49" fontId="13" fillId="0" borderId="27" xfId="5" applyNumberFormat="1" applyFont="1" applyFill="1" applyBorder="1" applyAlignment="1">
      <alignment horizontal="center" vertical="center"/>
    </xf>
    <xf numFmtId="49" fontId="13" fillId="0" borderId="28" xfId="5" applyNumberFormat="1" applyFont="1" applyFill="1" applyBorder="1" applyAlignment="1">
      <alignment horizontal="center" vertical="center"/>
    </xf>
    <xf numFmtId="49" fontId="13" fillId="0" borderId="29" xfId="5" applyNumberFormat="1" applyFont="1" applyFill="1" applyBorder="1" applyAlignment="1">
      <alignment horizontal="center" vertical="center"/>
    </xf>
    <xf numFmtId="179" fontId="13" fillId="0" borderId="33" xfId="1" applyNumberFormat="1" applyFont="1" applyFill="1" applyBorder="1" applyAlignment="1">
      <alignment horizontal="center" vertical="center"/>
    </xf>
    <xf numFmtId="179" fontId="13" fillId="0" borderId="35" xfId="1" applyNumberFormat="1" applyFont="1" applyFill="1" applyBorder="1" applyAlignment="1">
      <alignment horizontal="center" vertical="center"/>
    </xf>
    <xf numFmtId="0" fontId="12" fillId="0" borderId="59" xfId="7" applyFont="1" applyBorder="1" applyAlignment="1">
      <alignment vertical="center"/>
    </xf>
  </cellXfs>
  <cellStyles count="14">
    <cellStyle name="쉼표 [0]" xfId="1" builtinId="6"/>
    <cellStyle name="쉼표 [0] 2" xfId="8"/>
    <cellStyle name="쉼표 [0] 3" xfId="9"/>
    <cellStyle name="쉼표 [0] 4" xfId="6"/>
    <cellStyle name="쉼표 [0]_1차2차선발전" xfId="2"/>
    <cellStyle name="쉼표 [0]_2003예산" xfId="3"/>
    <cellStyle name="쉼표 [0]_2003예산12억(최종)" xfId="4"/>
    <cellStyle name="표준" xfId="0" builtinId="0"/>
    <cellStyle name="표준 2" xfId="7"/>
    <cellStyle name="표준 3" xfId="10"/>
    <cellStyle name="표준 4" xfId="11"/>
    <cellStyle name="표준 5" xfId="12"/>
    <cellStyle name="표준 6" xfId="13"/>
    <cellStyle name="표준_사본 - 2006예산(총회)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8"/>
  <sheetViews>
    <sheetView tabSelected="1" workbookViewId="0">
      <selection activeCell="F86" sqref="F86"/>
    </sheetView>
  </sheetViews>
  <sheetFormatPr defaultRowHeight="16.5"/>
  <cols>
    <col min="1" max="1" width="3.77734375" style="238" customWidth="1"/>
    <col min="2" max="2" width="27.109375" style="238" customWidth="1"/>
    <col min="3" max="3" width="16.5546875" style="239" customWidth="1"/>
    <col min="4" max="4" width="13.21875" style="240" customWidth="1"/>
    <col min="5" max="5" width="14" style="245" customWidth="1"/>
    <col min="6" max="6" width="13.21875" style="240" customWidth="1"/>
    <col min="7" max="7" width="13.88671875" style="230" customWidth="1"/>
    <col min="8" max="8" width="22.5546875" style="242" customWidth="1"/>
    <col min="9" max="9" width="2.88671875" style="243" customWidth="1"/>
    <col min="10" max="10" width="11.5546875" style="244" customWidth="1"/>
    <col min="11" max="11" width="3.6640625" style="238" customWidth="1"/>
    <col min="12" max="247" width="8.88671875" style="238"/>
    <col min="248" max="248" width="3.21875" style="238" customWidth="1"/>
    <col min="249" max="249" width="3" style="238" customWidth="1"/>
    <col min="250" max="250" width="9.6640625" style="238" customWidth="1"/>
    <col min="251" max="251" width="24.44140625" style="238" customWidth="1"/>
    <col min="252" max="253" width="14" style="238" customWidth="1"/>
    <col min="254" max="254" width="24.44140625" style="238" customWidth="1"/>
    <col min="255" max="255" width="14.33203125" style="238" customWidth="1"/>
    <col min="256" max="256" width="14.44140625" style="238" customWidth="1"/>
    <col min="257" max="258" width="0" style="238" hidden="1" customWidth="1"/>
    <col min="259" max="259" width="11.21875" style="238" bestFit="1" customWidth="1"/>
    <col min="260" max="503" width="8.88671875" style="238"/>
    <col min="504" max="504" width="3.21875" style="238" customWidth="1"/>
    <col min="505" max="505" width="3" style="238" customWidth="1"/>
    <col min="506" max="506" width="9.6640625" style="238" customWidth="1"/>
    <col min="507" max="507" width="24.44140625" style="238" customWidth="1"/>
    <col min="508" max="509" width="14" style="238" customWidth="1"/>
    <col min="510" max="510" width="24.44140625" style="238" customWidth="1"/>
    <col min="511" max="511" width="14.33203125" style="238" customWidth="1"/>
    <col min="512" max="512" width="14.44140625" style="238" customWidth="1"/>
    <col min="513" max="514" width="0" style="238" hidden="1" customWidth="1"/>
    <col min="515" max="515" width="11.21875" style="238" bestFit="1" customWidth="1"/>
    <col min="516" max="759" width="8.88671875" style="238"/>
    <col min="760" max="760" width="3.21875" style="238" customWidth="1"/>
    <col min="761" max="761" width="3" style="238" customWidth="1"/>
    <col min="762" max="762" width="9.6640625" style="238" customWidth="1"/>
    <col min="763" max="763" width="24.44140625" style="238" customWidth="1"/>
    <col min="764" max="765" width="14" style="238" customWidth="1"/>
    <col min="766" max="766" width="24.44140625" style="238" customWidth="1"/>
    <col min="767" max="767" width="14.33203125" style="238" customWidth="1"/>
    <col min="768" max="768" width="14.44140625" style="238" customWidth="1"/>
    <col min="769" max="770" width="0" style="238" hidden="1" customWidth="1"/>
    <col min="771" max="771" width="11.21875" style="238" bestFit="1" customWidth="1"/>
    <col min="772" max="1015" width="8.88671875" style="238"/>
    <col min="1016" max="1016" width="3.21875" style="238" customWidth="1"/>
    <col min="1017" max="1017" width="3" style="238" customWidth="1"/>
    <col min="1018" max="1018" width="9.6640625" style="238" customWidth="1"/>
    <col min="1019" max="1019" width="24.44140625" style="238" customWidth="1"/>
    <col min="1020" max="1021" width="14" style="238" customWidth="1"/>
    <col min="1022" max="1022" width="24.44140625" style="238" customWidth="1"/>
    <col min="1023" max="1023" width="14.33203125" style="238" customWidth="1"/>
    <col min="1024" max="1024" width="14.44140625" style="238" customWidth="1"/>
    <col min="1025" max="1026" width="0" style="238" hidden="1" customWidth="1"/>
    <col min="1027" max="1027" width="11.21875" style="238" bestFit="1" customWidth="1"/>
    <col min="1028" max="1271" width="8.88671875" style="238"/>
    <col min="1272" max="1272" width="3.21875" style="238" customWidth="1"/>
    <col min="1273" max="1273" width="3" style="238" customWidth="1"/>
    <col min="1274" max="1274" width="9.6640625" style="238" customWidth="1"/>
    <col min="1275" max="1275" width="24.44140625" style="238" customWidth="1"/>
    <col min="1276" max="1277" width="14" style="238" customWidth="1"/>
    <col min="1278" max="1278" width="24.44140625" style="238" customWidth="1"/>
    <col min="1279" max="1279" width="14.33203125" style="238" customWidth="1"/>
    <col min="1280" max="1280" width="14.44140625" style="238" customWidth="1"/>
    <col min="1281" max="1282" width="0" style="238" hidden="1" customWidth="1"/>
    <col min="1283" max="1283" width="11.21875" style="238" bestFit="1" customWidth="1"/>
    <col min="1284" max="1527" width="8.88671875" style="238"/>
    <col min="1528" max="1528" width="3.21875" style="238" customWidth="1"/>
    <col min="1529" max="1529" width="3" style="238" customWidth="1"/>
    <col min="1530" max="1530" width="9.6640625" style="238" customWidth="1"/>
    <col min="1531" max="1531" width="24.44140625" style="238" customWidth="1"/>
    <col min="1532" max="1533" width="14" style="238" customWidth="1"/>
    <col min="1534" max="1534" width="24.44140625" style="238" customWidth="1"/>
    <col min="1535" max="1535" width="14.33203125" style="238" customWidth="1"/>
    <col min="1536" max="1536" width="14.44140625" style="238" customWidth="1"/>
    <col min="1537" max="1538" width="0" style="238" hidden="1" customWidth="1"/>
    <col min="1539" max="1539" width="11.21875" style="238" bestFit="1" customWidth="1"/>
    <col min="1540" max="1783" width="8.88671875" style="238"/>
    <col min="1784" max="1784" width="3.21875" style="238" customWidth="1"/>
    <col min="1785" max="1785" width="3" style="238" customWidth="1"/>
    <col min="1786" max="1786" width="9.6640625" style="238" customWidth="1"/>
    <col min="1787" max="1787" width="24.44140625" style="238" customWidth="1"/>
    <col min="1788" max="1789" width="14" style="238" customWidth="1"/>
    <col min="1790" max="1790" width="24.44140625" style="238" customWidth="1"/>
    <col min="1791" max="1791" width="14.33203125" style="238" customWidth="1"/>
    <col min="1792" max="1792" width="14.44140625" style="238" customWidth="1"/>
    <col min="1793" max="1794" width="0" style="238" hidden="1" customWidth="1"/>
    <col min="1795" max="1795" width="11.21875" style="238" bestFit="1" customWidth="1"/>
    <col min="1796" max="2039" width="8.88671875" style="238"/>
    <col min="2040" max="2040" width="3.21875" style="238" customWidth="1"/>
    <col min="2041" max="2041" width="3" style="238" customWidth="1"/>
    <col min="2042" max="2042" width="9.6640625" style="238" customWidth="1"/>
    <col min="2043" max="2043" width="24.44140625" style="238" customWidth="1"/>
    <col min="2044" max="2045" width="14" style="238" customWidth="1"/>
    <col min="2046" max="2046" width="24.44140625" style="238" customWidth="1"/>
    <col min="2047" max="2047" width="14.33203125" style="238" customWidth="1"/>
    <col min="2048" max="2048" width="14.44140625" style="238" customWidth="1"/>
    <col min="2049" max="2050" width="0" style="238" hidden="1" customWidth="1"/>
    <col min="2051" max="2051" width="11.21875" style="238" bestFit="1" customWidth="1"/>
    <col min="2052" max="2295" width="8.88671875" style="238"/>
    <col min="2296" max="2296" width="3.21875" style="238" customWidth="1"/>
    <col min="2297" max="2297" width="3" style="238" customWidth="1"/>
    <col min="2298" max="2298" width="9.6640625" style="238" customWidth="1"/>
    <col min="2299" max="2299" width="24.44140625" style="238" customWidth="1"/>
    <col min="2300" max="2301" width="14" style="238" customWidth="1"/>
    <col min="2302" max="2302" width="24.44140625" style="238" customWidth="1"/>
    <col min="2303" max="2303" width="14.33203125" style="238" customWidth="1"/>
    <col min="2304" max="2304" width="14.44140625" style="238" customWidth="1"/>
    <col min="2305" max="2306" width="0" style="238" hidden="1" customWidth="1"/>
    <col min="2307" max="2307" width="11.21875" style="238" bestFit="1" customWidth="1"/>
    <col min="2308" max="2551" width="8.88671875" style="238"/>
    <col min="2552" max="2552" width="3.21875" style="238" customWidth="1"/>
    <col min="2553" max="2553" width="3" style="238" customWidth="1"/>
    <col min="2554" max="2554" width="9.6640625" style="238" customWidth="1"/>
    <col min="2555" max="2555" width="24.44140625" style="238" customWidth="1"/>
    <col min="2556" max="2557" width="14" style="238" customWidth="1"/>
    <col min="2558" max="2558" width="24.44140625" style="238" customWidth="1"/>
    <col min="2559" max="2559" width="14.33203125" style="238" customWidth="1"/>
    <col min="2560" max="2560" width="14.44140625" style="238" customWidth="1"/>
    <col min="2561" max="2562" width="0" style="238" hidden="1" customWidth="1"/>
    <col min="2563" max="2563" width="11.21875" style="238" bestFit="1" customWidth="1"/>
    <col min="2564" max="2807" width="8.88671875" style="238"/>
    <col min="2808" max="2808" width="3.21875" style="238" customWidth="1"/>
    <col min="2809" max="2809" width="3" style="238" customWidth="1"/>
    <col min="2810" max="2810" width="9.6640625" style="238" customWidth="1"/>
    <col min="2811" max="2811" width="24.44140625" style="238" customWidth="1"/>
    <col min="2812" max="2813" width="14" style="238" customWidth="1"/>
    <col min="2814" max="2814" width="24.44140625" style="238" customWidth="1"/>
    <col min="2815" max="2815" width="14.33203125" style="238" customWidth="1"/>
    <col min="2816" max="2816" width="14.44140625" style="238" customWidth="1"/>
    <col min="2817" max="2818" width="0" style="238" hidden="1" customWidth="1"/>
    <col min="2819" max="2819" width="11.21875" style="238" bestFit="1" customWidth="1"/>
    <col min="2820" max="3063" width="8.88671875" style="238"/>
    <col min="3064" max="3064" width="3.21875" style="238" customWidth="1"/>
    <col min="3065" max="3065" width="3" style="238" customWidth="1"/>
    <col min="3066" max="3066" width="9.6640625" style="238" customWidth="1"/>
    <col min="3067" max="3067" width="24.44140625" style="238" customWidth="1"/>
    <col min="3068" max="3069" width="14" style="238" customWidth="1"/>
    <col min="3070" max="3070" width="24.44140625" style="238" customWidth="1"/>
    <col min="3071" max="3071" width="14.33203125" style="238" customWidth="1"/>
    <col min="3072" max="3072" width="14.44140625" style="238" customWidth="1"/>
    <col min="3073" max="3074" width="0" style="238" hidden="1" customWidth="1"/>
    <col min="3075" max="3075" width="11.21875" style="238" bestFit="1" customWidth="1"/>
    <col min="3076" max="3319" width="8.88671875" style="238"/>
    <col min="3320" max="3320" width="3.21875" style="238" customWidth="1"/>
    <col min="3321" max="3321" width="3" style="238" customWidth="1"/>
    <col min="3322" max="3322" width="9.6640625" style="238" customWidth="1"/>
    <col min="3323" max="3323" width="24.44140625" style="238" customWidth="1"/>
    <col min="3324" max="3325" width="14" style="238" customWidth="1"/>
    <col min="3326" max="3326" width="24.44140625" style="238" customWidth="1"/>
    <col min="3327" max="3327" width="14.33203125" style="238" customWidth="1"/>
    <col min="3328" max="3328" width="14.44140625" style="238" customWidth="1"/>
    <col min="3329" max="3330" width="0" style="238" hidden="1" customWidth="1"/>
    <col min="3331" max="3331" width="11.21875" style="238" bestFit="1" customWidth="1"/>
    <col min="3332" max="3575" width="8.88671875" style="238"/>
    <col min="3576" max="3576" width="3.21875" style="238" customWidth="1"/>
    <col min="3577" max="3577" width="3" style="238" customWidth="1"/>
    <col min="3578" max="3578" width="9.6640625" style="238" customWidth="1"/>
    <col min="3579" max="3579" width="24.44140625" style="238" customWidth="1"/>
    <col min="3580" max="3581" width="14" style="238" customWidth="1"/>
    <col min="3582" max="3582" width="24.44140625" style="238" customWidth="1"/>
    <col min="3583" max="3583" width="14.33203125" style="238" customWidth="1"/>
    <col min="3584" max="3584" width="14.44140625" style="238" customWidth="1"/>
    <col min="3585" max="3586" width="0" style="238" hidden="1" customWidth="1"/>
    <col min="3587" max="3587" width="11.21875" style="238" bestFit="1" customWidth="1"/>
    <col min="3588" max="3831" width="8.88671875" style="238"/>
    <col min="3832" max="3832" width="3.21875" style="238" customWidth="1"/>
    <col min="3833" max="3833" width="3" style="238" customWidth="1"/>
    <col min="3834" max="3834" width="9.6640625" style="238" customWidth="1"/>
    <col min="3835" max="3835" width="24.44140625" style="238" customWidth="1"/>
    <col min="3836" max="3837" width="14" style="238" customWidth="1"/>
    <col min="3838" max="3838" width="24.44140625" style="238" customWidth="1"/>
    <col min="3839" max="3839" width="14.33203125" style="238" customWidth="1"/>
    <col min="3840" max="3840" width="14.44140625" style="238" customWidth="1"/>
    <col min="3841" max="3842" width="0" style="238" hidden="1" customWidth="1"/>
    <col min="3843" max="3843" width="11.21875" style="238" bestFit="1" customWidth="1"/>
    <col min="3844" max="4087" width="8.88671875" style="238"/>
    <col min="4088" max="4088" width="3.21875" style="238" customWidth="1"/>
    <col min="4089" max="4089" width="3" style="238" customWidth="1"/>
    <col min="4090" max="4090" width="9.6640625" style="238" customWidth="1"/>
    <col min="4091" max="4091" width="24.44140625" style="238" customWidth="1"/>
    <col min="4092" max="4093" width="14" style="238" customWidth="1"/>
    <col min="4094" max="4094" width="24.44140625" style="238" customWidth="1"/>
    <col min="4095" max="4095" width="14.33203125" style="238" customWidth="1"/>
    <col min="4096" max="4096" width="14.44140625" style="238" customWidth="1"/>
    <col min="4097" max="4098" width="0" style="238" hidden="1" customWidth="1"/>
    <col min="4099" max="4099" width="11.21875" style="238" bestFit="1" customWidth="1"/>
    <col min="4100" max="4343" width="8.88671875" style="238"/>
    <col min="4344" max="4344" width="3.21875" style="238" customWidth="1"/>
    <col min="4345" max="4345" width="3" style="238" customWidth="1"/>
    <col min="4346" max="4346" width="9.6640625" style="238" customWidth="1"/>
    <col min="4347" max="4347" width="24.44140625" style="238" customWidth="1"/>
    <col min="4348" max="4349" width="14" style="238" customWidth="1"/>
    <col min="4350" max="4350" width="24.44140625" style="238" customWidth="1"/>
    <col min="4351" max="4351" width="14.33203125" style="238" customWidth="1"/>
    <col min="4352" max="4352" width="14.44140625" style="238" customWidth="1"/>
    <col min="4353" max="4354" width="0" style="238" hidden="1" customWidth="1"/>
    <col min="4355" max="4355" width="11.21875" style="238" bestFit="1" customWidth="1"/>
    <col min="4356" max="4599" width="8.88671875" style="238"/>
    <col min="4600" max="4600" width="3.21875" style="238" customWidth="1"/>
    <col min="4601" max="4601" width="3" style="238" customWidth="1"/>
    <col min="4602" max="4602" width="9.6640625" style="238" customWidth="1"/>
    <col min="4603" max="4603" width="24.44140625" style="238" customWidth="1"/>
    <col min="4604" max="4605" width="14" style="238" customWidth="1"/>
    <col min="4606" max="4606" width="24.44140625" style="238" customWidth="1"/>
    <col min="4607" max="4607" width="14.33203125" style="238" customWidth="1"/>
    <col min="4608" max="4608" width="14.44140625" style="238" customWidth="1"/>
    <col min="4609" max="4610" width="0" style="238" hidden="1" customWidth="1"/>
    <col min="4611" max="4611" width="11.21875" style="238" bestFit="1" customWidth="1"/>
    <col min="4612" max="4855" width="8.88671875" style="238"/>
    <col min="4856" max="4856" width="3.21875" style="238" customWidth="1"/>
    <col min="4857" max="4857" width="3" style="238" customWidth="1"/>
    <col min="4858" max="4858" width="9.6640625" style="238" customWidth="1"/>
    <col min="4859" max="4859" width="24.44140625" style="238" customWidth="1"/>
    <col min="4860" max="4861" width="14" style="238" customWidth="1"/>
    <col min="4862" max="4862" width="24.44140625" style="238" customWidth="1"/>
    <col min="4863" max="4863" width="14.33203125" style="238" customWidth="1"/>
    <col min="4864" max="4864" width="14.44140625" style="238" customWidth="1"/>
    <col min="4865" max="4866" width="0" style="238" hidden="1" customWidth="1"/>
    <col min="4867" max="4867" width="11.21875" style="238" bestFit="1" customWidth="1"/>
    <col min="4868" max="5111" width="8.88671875" style="238"/>
    <col min="5112" max="5112" width="3.21875" style="238" customWidth="1"/>
    <col min="5113" max="5113" width="3" style="238" customWidth="1"/>
    <col min="5114" max="5114" width="9.6640625" style="238" customWidth="1"/>
    <col min="5115" max="5115" width="24.44140625" style="238" customWidth="1"/>
    <col min="5116" max="5117" width="14" style="238" customWidth="1"/>
    <col min="5118" max="5118" width="24.44140625" style="238" customWidth="1"/>
    <col min="5119" max="5119" width="14.33203125" style="238" customWidth="1"/>
    <col min="5120" max="5120" width="14.44140625" style="238" customWidth="1"/>
    <col min="5121" max="5122" width="0" style="238" hidden="1" customWidth="1"/>
    <col min="5123" max="5123" width="11.21875" style="238" bestFit="1" customWidth="1"/>
    <col min="5124" max="5367" width="8.88671875" style="238"/>
    <col min="5368" max="5368" width="3.21875" style="238" customWidth="1"/>
    <col min="5369" max="5369" width="3" style="238" customWidth="1"/>
    <col min="5370" max="5370" width="9.6640625" style="238" customWidth="1"/>
    <col min="5371" max="5371" width="24.44140625" style="238" customWidth="1"/>
    <col min="5372" max="5373" width="14" style="238" customWidth="1"/>
    <col min="5374" max="5374" width="24.44140625" style="238" customWidth="1"/>
    <col min="5375" max="5375" width="14.33203125" style="238" customWidth="1"/>
    <col min="5376" max="5376" width="14.44140625" style="238" customWidth="1"/>
    <col min="5377" max="5378" width="0" style="238" hidden="1" customWidth="1"/>
    <col min="5379" max="5379" width="11.21875" style="238" bestFit="1" customWidth="1"/>
    <col min="5380" max="5623" width="8.88671875" style="238"/>
    <col min="5624" max="5624" width="3.21875" style="238" customWidth="1"/>
    <col min="5625" max="5625" width="3" style="238" customWidth="1"/>
    <col min="5626" max="5626" width="9.6640625" style="238" customWidth="1"/>
    <col min="5627" max="5627" width="24.44140625" style="238" customWidth="1"/>
    <col min="5628" max="5629" width="14" style="238" customWidth="1"/>
    <col min="5630" max="5630" width="24.44140625" style="238" customWidth="1"/>
    <col min="5631" max="5631" width="14.33203125" style="238" customWidth="1"/>
    <col min="5632" max="5632" width="14.44140625" style="238" customWidth="1"/>
    <col min="5633" max="5634" width="0" style="238" hidden="1" customWidth="1"/>
    <col min="5635" max="5635" width="11.21875" style="238" bestFit="1" customWidth="1"/>
    <col min="5636" max="5879" width="8.88671875" style="238"/>
    <col min="5880" max="5880" width="3.21875" style="238" customWidth="1"/>
    <col min="5881" max="5881" width="3" style="238" customWidth="1"/>
    <col min="5882" max="5882" width="9.6640625" style="238" customWidth="1"/>
    <col min="5883" max="5883" width="24.44140625" style="238" customWidth="1"/>
    <col min="5884" max="5885" width="14" style="238" customWidth="1"/>
    <col min="5886" max="5886" width="24.44140625" style="238" customWidth="1"/>
    <col min="5887" max="5887" width="14.33203125" style="238" customWidth="1"/>
    <col min="5888" max="5888" width="14.44140625" style="238" customWidth="1"/>
    <col min="5889" max="5890" width="0" style="238" hidden="1" customWidth="1"/>
    <col min="5891" max="5891" width="11.21875" style="238" bestFit="1" customWidth="1"/>
    <col min="5892" max="6135" width="8.88671875" style="238"/>
    <col min="6136" max="6136" width="3.21875" style="238" customWidth="1"/>
    <col min="6137" max="6137" width="3" style="238" customWidth="1"/>
    <col min="6138" max="6138" width="9.6640625" style="238" customWidth="1"/>
    <col min="6139" max="6139" width="24.44140625" style="238" customWidth="1"/>
    <col min="6140" max="6141" width="14" style="238" customWidth="1"/>
    <col min="6142" max="6142" width="24.44140625" style="238" customWidth="1"/>
    <col min="6143" max="6143" width="14.33203125" style="238" customWidth="1"/>
    <col min="6144" max="6144" width="14.44140625" style="238" customWidth="1"/>
    <col min="6145" max="6146" width="0" style="238" hidden="1" customWidth="1"/>
    <col min="6147" max="6147" width="11.21875" style="238" bestFit="1" customWidth="1"/>
    <col min="6148" max="6391" width="8.88671875" style="238"/>
    <col min="6392" max="6392" width="3.21875" style="238" customWidth="1"/>
    <col min="6393" max="6393" width="3" style="238" customWidth="1"/>
    <col min="6394" max="6394" width="9.6640625" style="238" customWidth="1"/>
    <col min="6395" max="6395" width="24.44140625" style="238" customWidth="1"/>
    <col min="6396" max="6397" width="14" style="238" customWidth="1"/>
    <col min="6398" max="6398" width="24.44140625" style="238" customWidth="1"/>
    <col min="6399" max="6399" width="14.33203125" style="238" customWidth="1"/>
    <col min="6400" max="6400" width="14.44140625" style="238" customWidth="1"/>
    <col min="6401" max="6402" width="0" style="238" hidden="1" customWidth="1"/>
    <col min="6403" max="6403" width="11.21875" style="238" bestFit="1" customWidth="1"/>
    <col min="6404" max="6647" width="8.88671875" style="238"/>
    <col min="6648" max="6648" width="3.21875" style="238" customWidth="1"/>
    <col min="6649" max="6649" width="3" style="238" customWidth="1"/>
    <col min="6650" max="6650" width="9.6640625" style="238" customWidth="1"/>
    <col min="6651" max="6651" width="24.44140625" style="238" customWidth="1"/>
    <col min="6652" max="6653" width="14" style="238" customWidth="1"/>
    <col min="6654" max="6654" width="24.44140625" style="238" customWidth="1"/>
    <col min="6655" max="6655" width="14.33203125" style="238" customWidth="1"/>
    <col min="6656" max="6656" width="14.44140625" style="238" customWidth="1"/>
    <col min="6657" max="6658" width="0" style="238" hidden="1" customWidth="1"/>
    <col min="6659" max="6659" width="11.21875" style="238" bestFit="1" customWidth="1"/>
    <col min="6660" max="6903" width="8.88671875" style="238"/>
    <col min="6904" max="6904" width="3.21875" style="238" customWidth="1"/>
    <col min="6905" max="6905" width="3" style="238" customWidth="1"/>
    <col min="6906" max="6906" width="9.6640625" style="238" customWidth="1"/>
    <col min="6907" max="6907" width="24.44140625" style="238" customWidth="1"/>
    <col min="6908" max="6909" width="14" style="238" customWidth="1"/>
    <col min="6910" max="6910" width="24.44140625" style="238" customWidth="1"/>
    <col min="6911" max="6911" width="14.33203125" style="238" customWidth="1"/>
    <col min="6912" max="6912" width="14.44140625" style="238" customWidth="1"/>
    <col min="6913" max="6914" width="0" style="238" hidden="1" customWidth="1"/>
    <col min="6915" max="6915" width="11.21875" style="238" bestFit="1" customWidth="1"/>
    <col min="6916" max="7159" width="8.88671875" style="238"/>
    <col min="7160" max="7160" width="3.21875" style="238" customWidth="1"/>
    <col min="7161" max="7161" width="3" style="238" customWidth="1"/>
    <col min="7162" max="7162" width="9.6640625" style="238" customWidth="1"/>
    <col min="7163" max="7163" width="24.44140625" style="238" customWidth="1"/>
    <col min="7164" max="7165" width="14" style="238" customWidth="1"/>
    <col min="7166" max="7166" width="24.44140625" style="238" customWidth="1"/>
    <col min="7167" max="7167" width="14.33203125" style="238" customWidth="1"/>
    <col min="7168" max="7168" width="14.44140625" style="238" customWidth="1"/>
    <col min="7169" max="7170" width="0" style="238" hidden="1" customWidth="1"/>
    <col min="7171" max="7171" width="11.21875" style="238" bestFit="1" customWidth="1"/>
    <col min="7172" max="7415" width="8.88671875" style="238"/>
    <col min="7416" max="7416" width="3.21875" style="238" customWidth="1"/>
    <col min="7417" max="7417" width="3" style="238" customWidth="1"/>
    <col min="7418" max="7418" width="9.6640625" style="238" customWidth="1"/>
    <col min="7419" max="7419" width="24.44140625" style="238" customWidth="1"/>
    <col min="7420" max="7421" width="14" style="238" customWidth="1"/>
    <col min="7422" max="7422" width="24.44140625" style="238" customWidth="1"/>
    <col min="7423" max="7423" width="14.33203125" style="238" customWidth="1"/>
    <col min="7424" max="7424" width="14.44140625" style="238" customWidth="1"/>
    <col min="7425" max="7426" width="0" style="238" hidden="1" customWidth="1"/>
    <col min="7427" max="7427" width="11.21875" style="238" bestFit="1" customWidth="1"/>
    <col min="7428" max="7671" width="8.88671875" style="238"/>
    <col min="7672" max="7672" width="3.21875" style="238" customWidth="1"/>
    <col min="7673" max="7673" width="3" style="238" customWidth="1"/>
    <col min="7674" max="7674" width="9.6640625" style="238" customWidth="1"/>
    <col min="7675" max="7675" width="24.44140625" style="238" customWidth="1"/>
    <col min="7676" max="7677" width="14" style="238" customWidth="1"/>
    <col min="7678" max="7678" width="24.44140625" style="238" customWidth="1"/>
    <col min="7679" max="7679" width="14.33203125" style="238" customWidth="1"/>
    <col min="7680" max="7680" width="14.44140625" style="238" customWidth="1"/>
    <col min="7681" max="7682" width="0" style="238" hidden="1" customWidth="1"/>
    <col min="7683" max="7683" width="11.21875" style="238" bestFit="1" customWidth="1"/>
    <col min="7684" max="7927" width="8.88671875" style="238"/>
    <col min="7928" max="7928" width="3.21875" style="238" customWidth="1"/>
    <col min="7929" max="7929" width="3" style="238" customWidth="1"/>
    <col min="7930" max="7930" width="9.6640625" style="238" customWidth="1"/>
    <col min="7931" max="7931" width="24.44140625" style="238" customWidth="1"/>
    <col min="7932" max="7933" width="14" style="238" customWidth="1"/>
    <col min="7934" max="7934" width="24.44140625" style="238" customWidth="1"/>
    <col min="7935" max="7935" width="14.33203125" style="238" customWidth="1"/>
    <col min="7936" max="7936" width="14.44140625" style="238" customWidth="1"/>
    <col min="7937" max="7938" width="0" style="238" hidden="1" customWidth="1"/>
    <col min="7939" max="7939" width="11.21875" style="238" bestFit="1" customWidth="1"/>
    <col min="7940" max="8183" width="8.88671875" style="238"/>
    <col min="8184" max="8184" width="3.21875" style="238" customWidth="1"/>
    <col min="8185" max="8185" width="3" style="238" customWidth="1"/>
    <col min="8186" max="8186" width="9.6640625" style="238" customWidth="1"/>
    <col min="8187" max="8187" width="24.44140625" style="238" customWidth="1"/>
    <col min="8188" max="8189" width="14" style="238" customWidth="1"/>
    <col min="8190" max="8190" width="24.44140625" style="238" customWidth="1"/>
    <col min="8191" max="8191" width="14.33203125" style="238" customWidth="1"/>
    <col min="8192" max="8192" width="14.44140625" style="238" customWidth="1"/>
    <col min="8193" max="8194" width="0" style="238" hidden="1" customWidth="1"/>
    <col min="8195" max="8195" width="11.21875" style="238" bestFit="1" customWidth="1"/>
    <col min="8196" max="8439" width="8.88671875" style="238"/>
    <col min="8440" max="8440" width="3.21875" style="238" customWidth="1"/>
    <col min="8441" max="8441" width="3" style="238" customWidth="1"/>
    <col min="8442" max="8442" width="9.6640625" style="238" customWidth="1"/>
    <col min="8443" max="8443" width="24.44140625" style="238" customWidth="1"/>
    <col min="8444" max="8445" width="14" style="238" customWidth="1"/>
    <col min="8446" max="8446" width="24.44140625" style="238" customWidth="1"/>
    <col min="8447" max="8447" width="14.33203125" style="238" customWidth="1"/>
    <col min="8448" max="8448" width="14.44140625" style="238" customWidth="1"/>
    <col min="8449" max="8450" width="0" style="238" hidden="1" customWidth="1"/>
    <col min="8451" max="8451" width="11.21875" style="238" bestFit="1" customWidth="1"/>
    <col min="8452" max="8695" width="8.88671875" style="238"/>
    <col min="8696" max="8696" width="3.21875" style="238" customWidth="1"/>
    <col min="8697" max="8697" width="3" style="238" customWidth="1"/>
    <col min="8698" max="8698" width="9.6640625" style="238" customWidth="1"/>
    <col min="8699" max="8699" width="24.44140625" style="238" customWidth="1"/>
    <col min="8700" max="8701" width="14" style="238" customWidth="1"/>
    <col min="8702" max="8702" width="24.44140625" style="238" customWidth="1"/>
    <col min="8703" max="8703" width="14.33203125" style="238" customWidth="1"/>
    <col min="8704" max="8704" width="14.44140625" style="238" customWidth="1"/>
    <col min="8705" max="8706" width="0" style="238" hidden="1" customWidth="1"/>
    <col min="8707" max="8707" width="11.21875" style="238" bestFit="1" customWidth="1"/>
    <col min="8708" max="8951" width="8.88671875" style="238"/>
    <col min="8952" max="8952" width="3.21875" style="238" customWidth="1"/>
    <col min="8953" max="8953" width="3" style="238" customWidth="1"/>
    <col min="8954" max="8954" width="9.6640625" style="238" customWidth="1"/>
    <col min="8955" max="8955" width="24.44140625" style="238" customWidth="1"/>
    <col min="8956" max="8957" width="14" style="238" customWidth="1"/>
    <col min="8958" max="8958" width="24.44140625" style="238" customWidth="1"/>
    <col min="8959" max="8959" width="14.33203125" style="238" customWidth="1"/>
    <col min="8960" max="8960" width="14.44140625" style="238" customWidth="1"/>
    <col min="8961" max="8962" width="0" style="238" hidden="1" customWidth="1"/>
    <col min="8963" max="8963" width="11.21875" style="238" bestFit="1" customWidth="1"/>
    <col min="8964" max="9207" width="8.88671875" style="238"/>
    <col min="9208" max="9208" width="3.21875" style="238" customWidth="1"/>
    <col min="9209" max="9209" width="3" style="238" customWidth="1"/>
    <col min="9210" max="9210" width="9.6640625" style="238" customWidth="1"/>
    <col min="9211" max="9211" width="24.44140625" style="238" customWidth="1"/>
    <col min="9212" max="9213" width="14" style="238" customWidth="1"/>
    <col min="9214" max="9214" width="24.44140625" style="238" customWidth="1"/>
    <col min="9215" max="9215" width="14.33203125" style="238" customWidth="1"/>
    <col min="9216" max="9216" width="14.44140625" style="238" customWidth="1"/>
    <col min="9217" max="9218" width="0" style="238" hidden="1" customWidth="1"/>
    <col min="9219" max="9219" width="11.21875" style="238" bestFit="1" customWidth="1"/>
    <col min="9220" max="9463" width="8.88671875" style="238"/>
    <col min="9464" max="9464" width="3.21875" style="238" customWidth="1"/>
    <col min="9465" max="9465" width="3" style="238" customWidth="1"/>
    <col min="9466" max="9466" width="9.6640625" style="238" customWidth="1"/>
    <col min="9467" max="9467" width="24.44140625" style="238" customWidth="1"/>
    <col min="9468" max="9469" width="14" style="238" customWidth="1"/>
    <col min="9470" max="9470" width="24.44140625" style="238" customWidth="1"/>
    <col min="9471" max="9471" width="14.33203125" style="238" customWidth="1"/>
    <col min="9472" max="9472" width="14.44140625" style="238" customWidth="1"/>
    <col min="9473" max="9474" width="0" style="238" hidden="1" customWidth="1"/>
    <col min="9475" max="9475" width="11.21875" style="238" bestFit="1" customWidth="1"/>
    <col min="9476" max="9719" width="8.88671875" style="238"/>
    <col min="9720" max="9720" width="3.21875" style="238" customWidth="1"/>
    <col min="9721" max="9721" width="3" style="238" customWidth="1"/>
    <col min="9722" max="9722" width="9.6640625" style="238" customWidth="1"/>
    <col min="9723" max="9723" width="24.44140625" style="238" customWidth="1"/>
    <col min="9724" max="9725" width="14" style="238" customWidth="1"/>
    <col min="9726" max="9726" width="24.44140625" style="238" customWidth="1"/>
    <col min="9727" max="9727" width="14.33203125" style="238" customWidth="1"/>
    <col min="9728" max="9728" width="14.44140625" style="238" customWidth="1"/>
    <col min="9729" max="9730" width="0" style="238" hidden="1" customWidth="1"/>
    <col min="9731" max="9731" width="11.21875" style="238" bestFit="1" customWidth="1"/>
    <col min="9732" max="9975" width="8.88671875" style="238"/>
    <col min="9976" max="9976" width="3.21875" style="238" customWidth="1"/>
    <col min="9977" max="9977" width="3" style="238" customWidth="1"/>
    <col min="9978" max="9978" width="9.6640625" style="238" customWidth="1"/>
    <col min="9979" max="9979" width="24.44140625" style="238" customWidth="1"/>
    <col min="9980" max="9981" width="14" style="238" customWidth="1"/>
    <col min="9982" max="9982" width="24.44140625" style="238" customWidth="1"/>
    <col min="9983" max="9983" width="14.33203125" style="238" customWidth="1"/>
    <col min="9984" max="9984" width="14.44140625" style="238" customWidth="1"/>
    <col min="9985" max="9986" width="0" style="238" hidden="1" customWidth="1"/>
    <col min="9987" max="9987" width="11.21875" style="238" bestFit="1" customWidth="1"/>
    <col min="9988" max="10231" width="8.88671875" style="238"/>
    <col min="10232" max="10232" width="3.21875" style="238" customWidth="1"/>
    <col min="10233" max="10233" width="3" style="238" customWidth="1"/>
    <col min="10234" max="10234" width="9.6640625" style="238" customWidth="1"/>
    <col min="10235" max="10235" width="24.44140625" style="238" customWidth="1"/>
    <col min="10236" max="10237" width="14" style="238" customWidth="1"/>
    <col min="10238" max="10238" width="24.44140625" style="238" customWidth="1"/>
    <col min="10239" max="10239" width="14.33203125" style="238" customWidth="1"/>
    <col min="10240" max="10240" width="14.44140625" style="238" customWidth="1"/>
    <col min="10241" max="10242" width="0" style="238" hidden="1" customWidth="1"/>
    <col min="10243" max="10243" width="11.21875" style="238" bestFit="1" customWidth="1"/>
    <col min="10244" max="10487" width="8.88671875" style="238"/>
    <col min="10488" max="10488" width="3.21875" style="238" customWidth="1"/>
    <col min="10489" max="10489" width="3" style="238" customWidth="1"/>
    <col min="10490" max="10490" width="9.6640625" style="238" customWidth="1"/>
    <col min="10491" max="10491" width="24.44140625" style="238" customWidth="1"/>
    <col min="10492" max="10493" width="14" style="238" customWidth="1"/>
    <col min="10494" max="10494" width="24.44140625" style="238" customWidth="1"/>
    <col min="10495" max="10495" width="14.33203125" style="238" customWidth="1"/>
    <col min="10496" max="10496" width="14.44140625" style="238" customWidth="1"/>
    <col min="10497" max="10498" width="0" style="238" hidden="1" customWidth="1"/>
    <col min="10499" max="10499" width="11.21875" style="238" bestFit="1" customWidth="1"/>
    <col min="10500" max="10743" width="8.88671875" style="238"/>
    <col min="10744" max="10744" width="3.21875" style="238" customWidth="1"/>
    <col min="10745" max="10745" width="3" style="238" customWidth="1"/>
    <col min="10746" max="10746" width="9.6640625" style="238" customWidth="1"/>
    <col min="10747" max="10747" width="24.44140625" style="238" customWidth="1"/>
    <col min="10748" max="10749" width="14" style="238" customWidth="1"/>
    <col min="10750" max="10750" width="24.44140625" style="238" customWidth="1"/>
    <col min="10751" max="10751" width="14.33203125" style="238" customWidth="1"/>
    <col min="10752" max="10752" width="14.44140625" style="238" customWidth="1"/>
    <col min="10753" max="10754" width="0" style="238" hidden="1" customWidth="1"/>
    <col min="10755" max="10755" width="11.21875" style="238" bestFit="1" customWidth="1"/>
    <col min="10756" max="10999" width="8.88671875" style="238"/>
    <col min="11000" max="11000" width="3.21875" style="238" customWidth="1"/>
    <col min="11001" max="11001" width="3" style="238" customWidth="1"/>
    <col min="11002" max="11002" width="9.6640625" style="238" customWidth="1"/>
    <col min="11003" max="11003" width="24.44140625" style="238" customWidth="1"/>
    <col min="11004" max="11005" width="14" style="238" customWidth="1"/>
    <col min="11006" max="11006" width="24.44140625" style="238" customWidth="1"/>
    <col min="11007" max="11007" width="14.33203125" style="238" customWidth="1"/>
    <col min="11008" max="11008" width="14.44140625" style="238" customWidth="1"/>
    <col min="11009" max="11010" width="0" style="238" hidden="1" customWidth="1"/>
    <col min="11011" max="11011" width="11.21875" style="238" bestFit="1" customWidth="1"/>
    <col min="11012" max="11255" width="8.88671875" style="238"/>
    <col min="11256" max="11256" width="3.21875" style="238" customWidth="1"/>
    <col min="11257" max="11257" width="3" style="238" customWidth="1"/>
    <col min="11258" max="11258" width="9.6640625" style="238" customWidth="1"/>
    <col min="11259" max="11259" width="24.44140625" style="238" customWidth="1"/>
    <col min="11260" max="11261" width="14" style="238" customWidth="1"/>
    <col min="11262" max="11262" width="24.44140625" style="238" customWidth="1"/>
    <col min="11263" max="11263" width="14.33203125" style="238" customWidth="1"/>
    <col min="11264" max="11264" width="14.44140625" style="238" customWidth="1"/>
    <col min="11265" max="11266" width="0" style="238" hidden="1" customWidth="1"/>
    <col min="11267" max="11267" width="11.21875" style="238" bestFit="1" customWidth="1"/>
    <col min="11268" max="11511" width="8.88671875" style="238"/>
    <col min="11512" max="11512" width="3.21875" style="238" customWidth="1"/>
    <col min="11513" max="11513" width="3" style="238" customWidth="1"/>
    <col min="11514" max="11514" width="9.6640625" style="238" customWidth="1"/>
    <col min="11515" max="11515" width="24.44140625" style="238" customWidth="1"/>
    <col min="11516" max="11517" width="14" style="238" customWidth="1"/>
    <col min="11518" max="11518" width="24.44140625" style="238" customWidth="1"/>
    <col min="11519" max="11519" width="14.33203125" style="238" customWidth="1"/>
    <col min="11520" max="11520" width="14.44140625" style="238" customWidth="1"/>
    <col min="11521" max="11522" width="0" style="238" hidden="1" customWidth="1"/>
    <col min="11523" max="11523" width="11.21875" style="238" bestFit="1" customWidth="1"/>
    <col min="11524" max="11767" width="8.88671875" style="238"/>
    <col min="11768" max="11768" width="3.21875" style="238" customWidth="1"/>
    <col min="11769" max="11769" width="3" style="238" customWidth="1"/>
    <col min="11770" max="11770" width="9.6640625" style="238" customWidth="1"/>
    <col min="11771" max="11771" width="24.44140625" style="238" customWidth="1"/>
    <col min="11772" max="11773" width="14" style="238" customWidth="1"/>
    <col min="11774" max="11774" width="24.44140625" style="238" customWidth="1"/>
    <col min="11775" max="11775" width="14.33203125" style="238" customWidth="1"/>
    <col min="11776" max="11776" width="14.44140625" style="238" customWidth="1"/>
    <col min="11777" max="11778" width="0" style="238" hidden="1" customWidth="1"/>
    <col min="11779" max="11779" width="11.21875" style="238" bestFit="1" customWidth="1"/>
    <col min="11780" max="12023" width="8.88671875" style="238"/>
    <col min="12024" max="12024" width="3.21875" style="238" customWidth="1"/>
    <col min="12025" max="12025" width="3" style="238" customWidth="1"/>
    <col min="12026" max="12026" width="9.6640625" style="238" customWidth="1"/>
    <col min="12027" max="12027" width="24.44140625" style="238" customWidth="1"/>
    <col min="12028" max="12029" width="14" style="238" customWidth="1"/>
    <col min="12030" max="12030" width="24.44140625" style="238" customWidth="1"/>
    <col min="12031" max="12031" width="14.33203125" style="238" customWidth="1"/>
    <col min="12032" max="12032" width="14.44140625" style="238" customWidth="1"/>
    <col min="12033" max="12034" width="0" style="238" hidden="1" customWidth="1"/>
    <col min="12035" max="12035" width="11.21875" style="238" bestFit="1" customWidth="1"/>
    <col min="12036" max="12279" width="8.88671875" style="238"/>
    <col min="12280" max="12280" width="3.21875" style="238" customWidth="1"/>
    <col min="12281" max="12281" width="3" style="238" customWidth="1"/>
    <col min="12282" max="12282" width="9.6640625" style="238" customWidth="1"/>
    <col min="12283" max="12283" width="24.44140625" style="238" customWidth="1"/>
    <col min="12284" max="12285" width="14" style="238" customWidth="1"/>
    <col min="12286" max="12286" width="24.44140625" style="238" customWidth="1"/>
    <col min="12287" max="12287" width="14.33203125" style="238" customWidth="1"/>
    <col min="12288" max="12288" width="14.44140625" style="238" customWidth="1"/>
    <col min="12289" max="12290" width="0" style="238" hidden="1" customWidth="1"/>
    <col min="12291" max="12291" width="11.21875" style="238" bestFit="1" customWidth="1"/>
    <col min="12292" max="12535" width="8.88671875" style="238"/>
    <col min="12536" max="12536" width="3.21875" style="238" customWidth="1"/>
    <col min="12537" max="12537" width="3" style="238" customWidth="1"/>
    <col min="12538" max="12538" width="9.6640625" style="238" customWidth="1"/>
    <col min="12539" max="12539" width="24.44140625" style="238" customWidth="1"/>
    <col min="12540" max="12541" width="14" style="238" customWidth="1"/>
    <col min="12542" max="12542" width="24.44140625" style="238" customWidth="1"/>
    <col min="12543" max="12543" width="14.33203125" style="238" customWidth="1"/>
    <col min="12544" max="12544" width="14.44140625" style="238" customWidth="1"/>
    <col min="12545" max="12546" width="0" style="238" hidden="1" customWidth="1"/>
    <col min="12547" max="12547" width="11.21875" style="238" bestFit="1" customWidth="1"/>
    <col min="12548" max="12791" width="8.88671875" style="238"/>
    <col min="12792" max="12792" width="3.21875" style="238" customWidth="1"/>
    <col min="12793" max="12793" width="3" style="238" customWidth="1"/>
    <col min="12794" max="12794" width="9.6640625" style="238" customWidth="1"/>
    <col min="12795" max="12795" width="24.44140625" style="238" customWidth="1"/>
    <col min="12796" max="12797" width="14" style="238" customWidth="1"/>
    <col min="12798" max="12798" width="24.44140625" style="238" customWidth="1"/>
    <col min="12799" max="12799" width="14.33203125" style="238" customWidth="1"/>
    <col min="12800" max="12800" width="14.44140625" style="238" customWidth="1"/>
    <col min="12801" max="12802" width="0" style="238" hidden="1" customWidth="1"/>
    <col min="12803" max="12803" width="11.21875" style="238" bestFit="1" customWidth="1"/>
    <col min="12804" max="13047" width="8.88671875" style="238"/>
    <col min="13048" max="13048" width="3.21875" style="238" customWidth="1"/>
    <col min="13049" max="13049" width="3" style="238" customWidth="1"/>
    <col min="13050" max="13050" width="9.6640625" style="238" customWidth="1"/>
    <col min="13051" max="13051" width="24.44140625" style="238" customWidth="1"/>
    <col min="13052" max="13053" width="14" style="238" customWidth="1"/>
    <col min="13054" max="13054" width="24.44140625" style="238" customWidth="1"/>
    <col min="13055" max="13055" width="14.33203125" style="238" customWidth="1"/>
    <col min="13056" max="13056" width="14.44140625" style="238" customWidth="1"/>
    <col min="13057" max="13058" width="0" style="238" hidden="1" customWidth="1"/>
    <col min="13059" max="13059" width="11.21875" style="238" bestFit="1" customWidth="1"/>
    <col min="13060" max="13303" width="8.88671875" style="238"/>
    <col min="13304" max="13304" width="3.21875" style="238" customWidth="1"/>
    <col min="13305" max="13305" width="3" style="238" customWidth="1"/>
    <col min="13306" max="13306" width="9.6640625" style="238" customWidth="1"/>
    <col min="13307" max="13307" width="24.44140625" style="238" customWidth="1"/>
    <col min="13308" max="13309" width="14" style="238" customWidth="1"/>
    <col min="13310" max="13310" width="24.44140625" style="238" customWidth="1"/>
    <col min="13311" max="13311" width="14.33203125" style="238" customWidth="1"/>
    <col min="13312" max="13312" width="14.44140625" style="238" customWidth="1"/>
    <col min="13313" max="13314" width="0" style="238" hidden="1" customWidth="1"/>
    <col min="13315" max="13315" width="11.21875" style="238" bestFit="1" customWidth="1"/>
    <col min="13316" max="13559" width="8.88671875" style="238"/>
    <col min="13560" max="13560" width="3.21875" style="238" customWidth="1"/>
    <col min="13561" max="13561" width="3" style="238" customWidth="1"/>
    <col min="13562" max="13562" width="9.6640625" style="238" customWidth="1"/>
    <col min="13563" max="13563" width="24.44140625" style="238" customWidth="1"/>
    <col min="13564" max="13565" width="14" style="238" customWidth="1"/>
    <col min="13566" max="13566" width="24.44140625" style="238" customWidth="1"/>
    <col min="13567" max="13567" width="14.33203125" style="238" customWidth="1"/>
    <col min="13568" max="13568" width="14.44140625" style="238" customWidth="1"/>
    <col min="13569" max="13570" width="0" style="238" hidden="1" customWidth="1"/>
    <col min="13571" max="13571" width="11.21875" style="238" bestFit="1" customWidth="1"/>
    <col min="13572" max="13815" width="8.88671875" style="238"/>
    <col min="13816" max="13816" width="3.21875" style="238" customWidth="1"/>
    <col min="13817" max="13817" width="3" style="238" customWidth="1"/>
    <col min="13818" max="13818" width="9.6640625" style="238" customWidth="1"/>
    <col min="13819" max="13819" width="24.44140625" style="238" customWidth="1"/>
    <col min="13820" max="13821" width="14" style="238" customWidth="1"/>
    <col min="13822" max="13822" width="24.44140625" style="238" customWidth="1"/>
    <col min="13823" max="13823" width="14.33203125" style="238" customWidth="1"/>
    <col min="13824" max="13824" width="14.44140625" style="238" customWidth="1"/>
    <col min="13825" max="13826" width="0" style="238" hidden="1" customWidth="1"/>
    <col min="13827" max="13827" width="11.21875" style="238" bestFit="1" customWidth="1"/>
    <col min="13828" max="14071" width="8.88671875" style="238"/>
    <col min="14072" max="14072" width="3.21875" style="238" customWidth="1"/>
    <col min="14073" max="14073" width="3" style="238" customWidth="1"/>
    <col min="14074" max="14074" width="9.6640625" style="238" customWidth="1"/>
    <col min="14075" max="14075" width="24.44140625" style="238" customWidth="1"/>
    <col min="14076" max="14077" width="14" style="238" customWidth="1"/>
    <col min="14078" max="14078" width="24.44140625" style="238" customWidth="1"/>
    <col min="14079" max="14079" width="14.33203125" style="238" customWidth="1"/>
    <col min="14080" max="14080" width="14.44140625" style="238" customWidth="1"/>
    <col min="14081" max="14082" width="0" style="238" hidden="1" customWidth="1"/>
    <col min="14083" max="14083" width="11.21875" style="238" bestFit="1" customWidth="1"/>
    <col min="14084" max="14327" width="8.88671875" style="238"/>
    <col min="14328" max="14328" width="3.21875" style="238" customWidth="1"/>
    <col min="14329" max="14329" width="3" style="238" customWidth="1"/>
    <col min="14330" max="14330" width="9.6640625" style="238" customWidth="1"/>
    <col min="14331" max="14331" width="24.44140625" style="238" customWidth="1"/>
    <col min="14332" max="14333" width="14" style="238" customWidth="1"/>
    <col min="14334" max="14334" width="24.44140625" style="238" customWidth="1"/>
    <col min="14335" max="14335" width="14.33203125" style="238" customWidth="1"/>
    <col min="14336" max="14336" width="14.44140625" style="238" customWidth="1"/>
    <col min="14337" max="14338" width="0" style="238" hidden="1" customWidth="1"/>
    <col min="14339" max="14339" width="11.21875" style="238" bestFit="1" customWidth="1"/>
    <col min="14340" max="14583" width="8.88671875" style="238"/>
    <col min="14584" max="14584" width="3.21875" style="238" customWidth="1"/>
    <col min="14585" max="14585" width="3" style="238" customWidth="1"/>
    <col min="14586" max="14586" width="9.6640625" style="238" customWidth="1"/>
    <col min="14587" max="14587" width="24.44140625" style="238" customWidth="1"/>
    <col min="14588" max="14589" width="14" style="238" customWidth="1"/>
    <col min="14590" max="14590" width="24.44140625" style="238" customWidth="1"/>
    <col min="14591" max="14591" width="14.33203125" style="238" customWidth="1"/>
    <col min="14592" max="14592" width="14.44140625" style="238" customWidth="1"/>
    <col min="14593" max="14594" width="0" style="238" hidden="1" customWidth="1"/>
    <col min="14595" max="14595" width="11.21875" style="238" bestFit="1" customWidth="1"/>
    <col min="14596" max="14839" width="8.88671875" style="238"/>
    <col min="14840" max="14840" width="3.21875" style="238" customWidth="1"/>
    <col min="14841" max="14841" width="3" style="238" customWidth="1"/>
    <col min="14842" max="14842" width="9.6640625" style="238" customWidth="1"/>
    <col min="14843" max="14843" width="24.44140625" style="238" customWidth="1"/>
    <col min="14844" max="14845" width="14" style="238" customWidth="1"/>
    <col min="14846" max="14846" width="24.44140625" style="238" customWidth="1"/>
    <col min="14847" max="14847" width="14.33203125" style="238" customWidth="1"/>
    <col min="14848" max="14848" width="14.44140625" style="238" customWidth="1"/>
    <col min="14849" max="14850" width="0" style="238" hidden="1" customWidth="1"/>
    <col min="14851" max="14851" width="11.21875" style="238" bestFit="1" customWidth="1"/>
    <col min="14852" max="15095" width="8.88671875" style="238"/>
    <col min="15096" max="15096" width="3.21875" style="238" customWidth="1"/>
    <col min="15097" max="15097" width="3" style="238" customWidth="1"/>
    <col min="15098" max="15098" width="9.6640625" style="238" customWidth="1"/>
    <col min="15099" max="15099" width="24.44140625" style="238" customWidth="1"/>
    <col min="15100" max="15101" width="14" style="238" customWidth="1"/>
    <col min="15102" max="15102" width="24.44140625" style="238" customWidth="1"/>
    <col min="15103" max="15103" width="14.33203125" style="238" customWidth="1"/>
    <col min="15104" max="15104" width="14.44140625" style="238" customWidth="1"/>
    <col min="15105" max="15106" width="0" style="238" hidden="1" customWidth="1"/>
    <col min="15107" max="15107" width="11.21875" style="238" bestFit="1" customWidth="1"/>
    <col min="15108" max="15351" width="8.88671875" style="238"/>
    <col min="15352" max="15352" width="3.21875" style="238" customWidth="1"/>
    <col min="15353" max="15353" width="3" style="238" customWidth="1"/>
    <col min="15354" max="15354" width="9.6640625" style="238" customWidth="1"/>
    <col min="15355" max="15355" width="24.44140625" style="238" customWidth="1"/>
    <col min="15356" max="15357" width="14" style="238" customWidth="1"/>
    <col min="15358" max="15358" width="24.44140625" style="238" customWidth="1"/>
    <col min="15359" max="15359" width="14.33203125" style="238" customWidth="1"/>
    <col min="15360" max="15360" width="14.44140625" style="238" customWidth="1"/>
    <col min="15361" max="15362" width="0" style="238" hidden="1" customWidth="1"/>
    <col min="15363" max="15363" width="11.21875" style="238" bestFit="1" customWidth="1"/>
    <col min="15364" max="15607" width="8.88671875" style="238"/>
    <col min="15608" max="15608" width="3.21875" style="238" customWidth="1"/>
    <col min="15609" max="15609" width="3" style="238" customWidth="1"/>
    <col min="15610" max="15610" width="9.6640625" style="238" customWidth="1"/>
    <col min="15611" max="15611" width="24.44140625" style="238" customWidth="1"/>
    <col min="15612" max="15613" width="14" style="238" customWidth="1"/>
    <col min="15614" max="15614" width="24.44140625" style="238" customWidth="1"/>
    <col min="15615" max="15615" width="14.33203125" style="238" customWidth="1"/>
    <col min="15616" max="15616" width="14.44140625" style="238" customWidth="1"/>
    <col min="15617" max="15618" width="0" style="238" hidden="1" customWidth="1"/>
    <col min="15619" max="15619" width="11.21875" style="238" bestFit="1" customWidth="1"/>
    <col min="15620" max="15863" width="8.88671875" style="238"/>
    <col min="15864" max="15864" width="3.21875" style="238" customWidth="1"/>
    <col min="15865" max="15865" width="3" style="238" customWidth="1"/>
    <col min="15866" max="15866" width="9.6640625" style="238" customWidth="1"/>
    <col min="15867" max="15867" width="24.44140625" style="238" customWidth="1"/>
    <col min="15868" max="15869" width="14" style="238" customWidth="1"/>
    <col min="15870" max="15870" width="24.44140625" style="238" customWidth="1"/>
    <col min="15871" max="15871" width="14.33203125" style="238" customWidth="1"/>
    <col min="15872" max="15872" width="14.44140625" style="238" customWidth="1"/>
    <col min="15873" max="15874" width="0" style="238" hidden="1" customWidth="1"/>
    <col min="15875" max="15875" width="11.21875" style="238" bestFit="1" customWidth="1"/>
    <col min="15876" max="16119" width="8.88671875" style="238"/>
    <col min="16120" max="16120" width="3.21875" style="238" customWidth="1"/>
    <col min="16121" max="16121" width="3" style="238" customWidth="1"/>
    <col min="16122" max="16122" width="9.6640625" style="238" customWidth="1"/>
    <col min="16123" max="16123" width="24.44140625" style="238" customWidth="1"/>
    <col min="16124" max="16125" width="14" style="238" customWidth="1"/>
    <col min="16126" max="16126" width="24.44140625" style="238" customWidth="1"/>
    <col min="16127" max="16127" width="14.33203125" style="238" customWidth="1"/>
    <col min="16128" max="16128" width="14.44140625" style="238" customWidth="1"/>
    <col min="16129" max="16130" width="0" style="238" hidden="1" customWidth="1"/>
    <col min="16131" max="16131" width="11.21875" style="238" bestFit="1" customWidth="1"/>
    <col min="16132" max="16384" width="8.88671875" style="238"/>
  </cols>
  <sheetData>
    <row r="1" spans="1:11" s="2" customFormat="1" ht="24.75" customHeight="1">
      <c r="A1" s="366" t="s">
        <v>815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</row>
    <row r="2" spans="1:11" s="2" customFormat="1" ht="12.75" customHeight="1" thickBot="1">
      <c r="A2" s="3"/>
      <c r="B2" s="3"/>
      <c r="C2" s="3"/>
      <c r="D2" s="52"/>
      <c r="E2" s="52"/>
      <c r="F2" s="52"/>
      <c r="G2" s="102"/>
      <c r="H2" s="103"/>
      <c r="I2" s="104"/>
      <c r="J2" s="105"/>
      <c r="K2" s="39" t="s">
        <v>818</v>
      </c>
    </row>
    <row r="3" spans="1:11" s="106" customFormat="1" ht="18.75" customHeight="1">
      <c r="A3" s="367" t="s">
        <v>1</v>
      </c>
      <c r="B3" s="368"/>
      <c r="C3" s="369"/>
      <c r="D3" s="370" t="s">
        <v>816</v>
      </c>
      <c r="E3" s="370" t="s">
        <v>817</v>
      </c>
      <c r="F3" s="370" t="s">
        <v>816</v>
      </c>
      <c r="G3" s="372" t="s">
        <v>809</v>
      </c>
      <c r="H3" s="374" t="s">
        <v>3</v>
      </c>
      <c r="I3" s="374"/>
      <c r="J3" s="375"/>
      <c r="K3" s="378" t="s">
        <v>191</v>
      </c>
    </row>
    <row r="4" spans="1:11" s="106" customFormat="1" ht="18.75" customHeight="1" thickBot="1">
      <c r="A4" s="107" t="s">
        <v>4</v>
      </c>
      <c r="B4" s="108" t="s">
        <v>5</v>
      </c>
      <c r="C4" s="108" t="s">
        <v>6</v>
      </c>
      <c r="D4" s="371"/>
      <c r="E4" s="371"/>
      <c r="F4" s="371"/>
      <c r="G4" s="373"/>
      <c r="H4" s="376"/>
      <c r="I4" s="376"/>
      <c r="J4" s="377"/>
      <c r="K4" s="379"/>
    </row>
    <row r="5" spans="1:11" s="106" customFormat="1" ht="18.75" customHeight="1" thickBot="1">
      <c r="A5" s="395" t="s">
        <v>806</v>
      </c>
      <c r="B5" s="396"/>
      <c r="C5" s="397"/>
      <c r="D5" s="109">
        <v>484633670</v>
      </c>
      <c r="E5" s="110">
        <v>484633670</v>
      </c>
      <c r="F5" s="109">
        <v>484633670</v>
      </c>
      <c r="G5" s="111">
        <f>E5-D5</f>
        <v>0</v>
      </c>
      <c r="H5" s="112"/>
      <c r="I5" s="113"/>
      <c r="J5" s="114"/>
      <c r="K5" s="115"/>
    </row>
    <row r="6" spans="1:11" s="125" customFormat="1" ht="18.75" customHeight="1" thickTop="1">
      <c r="A6" s="380" t="s">
        <v>193</v>
      </c>
      <c r="B6" s="116" t="s">
        <v>819</v>
      </c>
      <c r="C6" s="117" t="s">
        <v>820</v>
      </c>
      <c r="D6" s="118">
        <v>0</v>
      </c>
      <c r="E6" s="119">
        <v>1530000</v>
      </c>
      <c r="F6" s="118">
        <v>0</v>
      </c>
      <c r="G6" s="120">
        <f>E6-D6</f>
        <v>1530000</v>
      </c>
      <c r="H6" s="121" t="s">
        <v>266</v>
      </c>
      <c r="I6" s="122" t="s">
        <v>821</v>
      </c>
      <c r="J6" s="123">
        <v>1530000</v>
      </c>
      <c r="K6" s="124"/>
    </row>
    <row r="7" spans="1:11" s="125" customFormat="1" ht="18.75" customHeight="1">
      <c r="A7" s="381"/>
      <c r="B7" s="126" t="s">
        <v>822</v>
      </c>
      <c r="C7" s="127" t="s">
        <v>820</v>
      </c>
      <c r="D7" s="128">
        <v>8543000</v>
      </c>
      <c r="E7" s="119">
        <f>4187400+6480000</f>
        <v>10667400</v>
      </c>
      <c r="F7" s="128">
        <v>8543000</v>
      </c>
      <c r="G7" s="120">
        <f>E7-D7</f>
        <v>2124400</v>
      </c>
      <c r="H7" s="121" t="s">
        <v>266</v>
      </c>
      <c r="I7" s="122" t="s">
        <v>821</v>
      </c>
      <c r="J7" s="119">
        <f>4187400+6480000</f>
        <v>10667400</v>
      </c>
      <c r="K7" s="124"/>
    </row>
    <row r="8" spans="1:11" s="125" customFormat="1" ht="18.75" customHeight="1">
      <c r="A8" s="381"/>
      <c r="B8" s="126" t="s">
        <v>823</v>
      </c>
      <c r="C8" s="127" t="s">
        <v>824</v>
      </c>
      <c r="D8" s="128">
        <v>0</v>
      </c>
      <c r="E8" s="119">
        <v>26600000</v>
      </c>
      <c r="F8" s="128">
        <v>0</v>
      </c>
      <c r="G8" s="120">
        <f t="shared" ref="G8:G13" si="0">E8-D8</f>
        <v>26600000</v>
      </c>
      <c r="H8" s="121" t="s">
        <v>824</v>
      </c>
      <c r="I8" s="122" t="s">
        <v>821</v>
      </c>
      <c r="J8" s="119">
        <v>26600000</v>
      </c>
      <c r="K8" s="124"/>
    </row>
    <row r="9" spans="1:11" s="125" customFormat="1" ht="18.75" customHeight="1">
      <c r="A9" s="381"/>
      <c r="B9" s="126" t="s">
        <v>825</v>
      </c>
      <c r="C9" s="127" t="s">
        <v>824</v>
      </c>
      <c r="D9" s="128">
        <v>0</v>
      </c>
      <c r="E9" s="119">
        <v>8740000</v>
      </c>
      <c r="F9" s="128">
        <v>0</v>
      </c>
      <c r="G9" s="120">
        <f t="shared" si="0"/>
        <v>8740000</v>
      </c>
      <c r="H9" s="121" t="s">
        <v>824</v>
      </c>
      <c r="I9" s="122" t="s">
        <v>821</v>
      </c>
      <c r="J9" s="119">
        <v>8740000</v>
      </c>
      <c r="K9" s="124"/>
    </row>
    <row r="10" spans="1:11" s="125" customFormat="1" ht="18.75" customHeight="1">
      <c r="A10" s="381"/>
      <c r="B10" s="126" t="s">
        <v>826</v>
      </c>
      <c r="C10" s="127" t="s">
        <v>820</v>
      </c>
      <c r="D10" s="128">
        <v>0</v>
      </c>
      <c r="E10" s="119">
        <v>2800000</v>
      </c>
      <c r="F10" s="128">
        <v>0</v>
      </c>
      <c r="G10" s="120">
        <f t="shared" si="0"/>
        <v>2800000</v>
      </c>
      <c r="H10" s="121" t="s">
        <v>266</v>
      </c>
      <c r="I10" s="122" t="s">
        <v>821</v>
      </c>
      <c r="J10" s="119">
        <v>2800000</v>
      </c>
      <c r="K10" s="124"/>
    </row>
    <row r="11" spans="1:11" s="125" customFormat="1" ht="18.75" customHeight="1">
      <c r="A11" s="381"/>
      <c r="B11" s="126" t="s">
        <v>827</v>
      </c>
      <c r="C11" s="127" t="s">
        <v>828</v>
      </c>
      <c r="D11" s="128">
        <v>0</v>
      </c>
      <c r="E11" s="119">
        <v>7850000</v>
      </c>
      <c r="F11" s="128">
        <v>0</v>
      </c>
      <c r="G11" s="120">
        <f t="shared" si="0"/>
        <v>7850000</v>
      </c>
      <c r="H11" s="121" t="s">
        <v>829</v>
      </c>
      <c r="I11" s="122" t="s">
        <v>821</v>
      </c>
      <c r="J11" s="119">
        <v>7850000</v>
      </c>
      <c r="K11" s="124"/>
    </row>
    <row r="12" spans="1:11" s="125" customFormat="1" ht="18.75" customHeight="1">
      <c r="A12" s="381"/>
      <c r="B12" s="126" t="s">
        <v>830</v>
      </c>
      <c r="C12" s="129" t="s">
        <v>123</v>
      </c>
      <c r="D12" s="130">
        <v>0</v>
      </c>
      <c r="E12" s="119">
        <f>3608000+492000</f>
        <v>4100000</v>
      </c>
      <c r="F12" s="130">
        <v>0</v>
      </c>
      <c r="G12" s="120">
        <f t="shared" si="0"/>
        <v>4100000</v>
      </c>
      <c r="H12" s="121" t="s">
        <v>831</v>
      </c>
      <c r="I12" s="122" t="s">
        <v>821</v>
      </c>
      <c r="J12" s="119">
        <f>3608000+492000</f>
        <v>4100000</v>
      </c>
      <c r="K12" s="124"/>
    </row>
    <row r="13" spans="1:11" s="125" customFormat="1" ht="18.75" customHeight="1">
      <c r="A13" s="381"/>
      <c r="B13" s="131" t="s">
        <v>832</v>
      </c>
      <c r="C13" s="129" t="s">
        <v>116</v>
      </c>
      <c r="D13" s="130">
        <v>0</v>
      </c>
      <c r="E13" s="132">
        <v>4500000</v>
      </c>
      <c r="F13" s="130">
        <v>0</v>
      </c>
      <c r="G13" s="120">
        <f t="shared" si="0"/>
        <v>4500000</v>
      </c>
      <c r="H13" s="121" t="s">
        <v>833</v>
      </c>
      <c r="I13" s="122" t="s">
        <v>821</v>
      </c>
      <c r="J13" s="133">
        <v>4500000</v>
      </c>
      <c r="K13" s="124"/>
    </row>
    <row r="14" spans="1:11" s="141" customFormat="1" ht="18.75" customHeight="1" thickBot="1">
      <c r="A14" s="385"/>
      <c r="B14" s="134" t="s">
        <v>188</v>
      </c>
      <c r="C14" s="134"/>
      <c r="D14" s="135">
        <f>SUM(D6:D13)</f>
        <v>8543000</v>
      </c>
      <c r="E14" s="135">
        <f>SUM(E6:E13)</f>
        <v>66787400</v>
      </c>
      <c r="F14" s="135">
        <f>SUM(F6:F13)</f>
        <v>8543000</v>
      </c>
      <c r="G14" s="136">
        <f>E14-D14</f>
        <v>58244400</v>
      </c>
      <c r="H14" s="137"/>
      <c r="I14" s="138"/>
      <c r="J14" s="139"/>
      <c r="K14" s="140"/>
    </row>
    <row r="15" spans="1:11" s="125" customFormat="1" ht="18.75" customHeight="1" thickTop="1">
      <c r="A15" s="398" t="s">
        <v>183</v>
      </c>
      <c r="B15" s="142" t="s">
        <v>834</v>
      </c>
      <c r="C15" s="399" t="s">
        <v>835</v>
      </c>
      <c r="D15" s="392">
        <v>244000000</v>
      </c>
      <c r="E15" s="143">
        <v>75000000</v>
      </c>
      <c r="F15" s="392">
        <v>244000000</v>
      </c>
      <c r="G15" s="363">
        <f>E15+E16+E17+E18+E19-D15</f>
        <v>0</v>
      </c>
      <c r="H15" s="121" t="s">
        <v>836</v>
      </c>
      <c r="I15" s="122" t="s">
        <v>821</v>
      </c>
      <c r="J15" s="144">
        <v>75000000</v>
      </c>
      <c r="K15" s="124"/>
    </row>
    <row r="16" spans="1:11" s="125" customFormat="1" ht="18.75" customHeight="1">
      <c r="A16" s="384"/>
      <c r="B16" s="142" t="s">
        <v>837</v>
      </c>
      <c r="C16" s="400"/>
      <c r="D16" s="393"/>
      <c r="E16" s="145">
        <v>25000000</v>
      </c>
      <c r="F16" s="393"/>
      <c r="G16" s="364"/>
      <c r="H16" s="121" t="s">
        <v>836</v>
      </c>
      <c r="I16" s="122" t="s">
        <v>821</v>
      </c>
      <c r="J16" s="146">
        <v>25000000</v>
      </c>
      <c r="K16" s="124"/>
    </row>
    <row r="17" spans="1:11" s="125" customFormat="1" ht="18.75" customHeight="1">
      <c r="A17" s="384"/>
      <c r="B17" s="142" t="s">
        <v>838</v>
      </c>
      <c r="C17" s="400"/>
      <c r="D17" s="393"/>
      <c r="E17" s="145">
        <v>80000000</v>
      </c>
      <c r="F17" s="393"/>
      <c r="G17" s="364"/>
      <c r="H17" s="121" t="s">
        <v>836</v>
      </c>
      <c r="I17" s="122" t="s">
        <v>821</v>
      </c>
      <c r="J17" s="146">
        <v>80000000</v>
      </c>
      <c r="K17" s="124"/>
    </row>
    <row r="18" spans="1:11" s="125" customFormat="1" ht="18.75" customHeight="1">
      <c r="A18" s="384"/>
      <c r="B18" s="142" t="s">
        <v>839</v>
      </c>
      <c r="C18" s="400"/>
      <c r="D18" s="393"/>
      <c r="E18" s="145">
        <v>24000000</v>
      </c>
      <c r="F18" s="393"/>
      <c r="G18" s="364"/>
      <c r="H18" s="121" t="s">
        <v>836</v>
      </c>
      <c r="I18" s="122" t="s">
        <v>821</v>
      </c>
      <c r="J18" s="146">
        <v>24000000</v>
      </c>
      <c r="K18" s="124"/>
    </row>
    <row r="19" spans="1:11" s="125" customFormat="1" ht="18.75" customHeight="1">
      <c r="A19" s="384"/>
      <c r="B19" s="142" t="s">
        <v>840</v>
      </c>
      <c r="C19" s="401"/>
      <c r="D19" s="394"/>
      <c r="E19" s="145">
        <v>40000000</v>
      </c>
      <c r="F19" s="394"/>
      <c r="G19" s="365"/>
      <c r="H19" s="121" t="s">
        <v>836</v>
      </c>
      <c r="I19" s="122" t="s">
        <v>821</v>
      </c>
      <c r="J19" s="146">
        <v>40000000</v>
      </c>
      <c r="K19" s="124"/>
    </row>
    <row r="20" spans="1:11" s="125" customFormat="1" ht="18.75" customHeight="1">
      <c r="A20" s="384"/>
      <c r="B20" s="147" t="s">
        <v>811</v>
      </c>
      <c r="C20" s="147"/>
      <c r="D20" s="148">
        <f>SUM(D15:D19)</f>
        <v>244000000</v>
      </c>
      <c r="E20" s="148">
        <f>SUM(E15:E19)</f>
        <v>244000000</v>
      </c>
      <c r="F20" s="148">
        <f>SUM(F15:F19)</f>
        <v>244000000</v>
      </c>
      <c r="G20" s="149">
        <f t="shared" ref="G20:G61" si="1">E20-D20</f>
        <v>0</v>
      </c>
      <c r="H20" s="150"/>
      <c r="I20" s="151"/>
      <c r="J20" s="148" t="s">
        <v>136</v>
      </c>
      <c r="K20" s="124"/>
    </row>
    <row r="21" spans="1:11" s="125" customFormat="1" ht="18.75" customHeight="1">
      <c r="A21" s="384"/>
      <c r="B21" s="127" t="s">
        <v>841</v>
      </c>
      <c r="C21" s="127" t="s">
        <v>842</v>
      </c>
      <c r="D21" s="128">
        <v>124000000</v>
      </c>
      <c r="E21" s="119">
        <v>106652400</v>
      </c>
      <c r="F21" s="128">
        <v>124000000</v>
      </c>
      <c r="G21" s="120">
        <f t="shared" si="1"/>
        <v>-17347600</v>
      </c>
      <c r="H21" s="121" t="s">
        <v>843</v>
      </c>
      <c r="I21" s="122" t="s">
        <v>821</v>
      </c>
      <c r="J21" s="119">
        <v>106652400</v>
      </c>
      <c r="K21" s="124"/>
    </row>
    <row r="22" spans="1:11" s="125" customFormat="1" ht="18.75" customHeight="1">
      <c r="A22" s="384"/>
      <c r="B22" s="129" t="s">
        <v>844</v>
      </c>
      <c r="C22" s="129" t="s">
        <v>123</v>
      </c>
      <c r="D22" s="130">
        <v>274250000</v>
      </c>
      <c r="E22" s="119">
        <f>346167000-77601000+15750000</f>
        <v>284316000</v>
      </c>
      <c r="F22" s="130">
        <v>274250000</v>
      </c>
      <c r="G22" s="120">
        <f t="shared" si="1"/>
        <v>10066000</v>
      </c>
      <c r="H22" s="121" t="s">
        <v>845</v>
      </c>
      <c r="I22" s="122" t="s">
        <v>821</v>
      </c>
      <c r="J22" s="119">
        <f>346167000-77601000+15750000</f>
        <v>284316000</v>
      </c>
      <c r="K22" s="124"/>
    </row>
    <row r="23" spans="1:11" s="125" customFormat="1" ht="18.75" customHeight="1">
      <c r="A23" s="384"/>
      <c r="B23" s="127" t="s">
        <v>846</v>
      </c>
      <c r="C23" s="127" t="s">
        <v>123</v>
      </c>
      <c r="D23" s="128">
        <v>320000000</v>
      </c>
      <c r="E23" s="119">
        <v>479400000</v>
      </c>
      <c r="F23" s="128">
        <v>320000000</v>
      </c>
      <c r="G23" s="120">
        <f t="shared" si="1"/>
        <v>159400000</v>
      </c>
      <c r="H23" s="121" t="s">
        <v>847</v>
      </c>
      <c r="I23" s="122" t="s">
        <v>821</v>
      </c>
      <c r="J23" s="119">
        <v>479400000</v>
      </c>
      <c r="K23" s="124"/>
    </row>
    <row r="24" spans="1:11" s="125" customFormat="1" ht="18.75" customHeight="1">
      <c r="A24" s="384"/>
      <c r="B24" s="127" t="s">
        <v>848</v>
      </c>
      <c r="C24" s="127" t="s">
        <v>123</v>
      </c>
      <c r="D24" s="128"/>
      <c r="E24" s="119">
        <v>77601000</v>
      </c>
      <c r="F24" s="128"/>
      <c r="G24" s="120">
        <f t="shared" si="1"/>
        <v>77601000</v>
      </c>
      <c r="H24" s="121" t="s">
        <v>848</v>
      </c>
      <c r="I24" s="122" t="s">
        <v>821</v>
      </c>
      <c r="J24" s="119">
        <v>77601000</v>
      </c>
      <c r="K24" s="124"/>
    </row>
    <row r="25" spans="1:11" s="125" customFormat="1" ht="18.75" customHeight="1">
      <c r="A25" s="384"/>
      <c r="B25" s="127" t="s">
        <v>849</v>
      </c>
      <c r="C25" s="127" t="s">
        <v>765</v>
      </c>
      <c r="D25" s="128"/>
      <c r="E25" s="119">
        <v>2261950</v>
      </c>
      <c r="F25" s="128"/>
      <c r="G25" s="120">
        <f t="shared" si="1"/>
        <v>2261950</v>
      </c>
      <c r="H25" s="121" t="s">
        <v>843</v>
      </c>
      <c r="I25" s="122" t="s">
        <v>821</v>
      </c>
      <c r="J25" s="119">
        <v>2261950</v>
      </c>
      <c r="K25" s="124"/>
    </row>
    <row r="26" spans="1:11" s="125" customFormat="1" ht="18.75" customHeight="1">
      <c r="A26" s="384"/>
      <c r="B26" s="152" t="s">
        <v>850</v>
      </c>
      <c r="C26" s="152" t="s">
        <v>812</v>
      </c>
      <c r="D26" s="153">
        <v>6500000</v>
      </c>
      <c r="E26" s="154">
        <v>6887700</v>
      </c>
      <c r="F26" s="153">
        <v>6500000</v>
      </c>
      <c r="G26" s="120">
        <f t="shared" si="1"/>
        <v>387700</v>
      </c>
      <c r="H26" s="121" t="s">
        <v>843</v>
      </c>
      <c r="I26" s="122" t="s">
        <v>821</v>
      </c>
      <c r="J26" s="154">
        <v>6887700</v>
      </c>
      <c r="K26" s="124"/>
    </row>
    <row r="27" spans="1:11" s="125" customFormat="1" ht="18.75" customHeight="1">
      <c r="A27" s="384"/>
      <c r="B27" s="147" t="s">
        <v>811</v>
      </c>
      <c r="C27" s="147"/>
      <c r="D27" s="148">
        <f>SUM(D21:D26)</f>
        <v>724750000</v>
      </c>
      <c r="E27" s="148">
        <f>SUM(E21:E26)</f>
        <v>957119050</v>
      </c>
      <c r="F27" s="148">
        <f>SUM(F21:F26)</f>
        <v>724750000</v>
      </c>
      <c r="G27" s="149">
        <f t="shared" si="1"/>
        <v>232369050</v>
      </c>
      <c r="H27" s="150"/>
      <c r="I27" s="151"/>
      <c r="J27" s="155"/>
      <c r="K27" s="124"/>
    </row>
    <row r="28" spans="1:11" s="125" customFormat="1" ht="18.75" customHeight="1">
      <c r="A28" s="381"/>
      <c r="B28" s="156" t="s">
        <v>851</v>
      </c>
      <c r="C28" s="157" t="s">
        <v>852</v>
      </c>
      <c r="D28" s="158">
        <v>100000000</v>
      </c>
      <c r="E28" s="119">
        <v>100000000</v>
      </c>
      <c r="F28" s="158">
        <v>100000000</v>
      </c>
      <c r="G28" s="120">
        <f t="shared" si="1"/>
        <v>0</v>
      </c>
      <c r="H28" s="121" t="s">
        <v>853</v>
      </c>
      <c r="I28" s="122" t="s">
        <v>821</v>
      </c>
      <c r="J28" s="119">
        <v>100000000</v>
      </c>
      <c r="K28" s="124"/>
    </row>
    <row r="29" spans="1:11" s="125" customFormat="1" ht="18.75" customHeight="1">
      <c r="A29" s="381"/>
      <c r="B29" s="126" t="s">
        <v>854</v>
      </c>
      <c r="C29" s="127" t="s">
        <v>148</v>
      </c>
      <c r="D29" s="128">
        <v>17000000</v>
      </c>
      <c r="E29" s="119">
        <f>16700000+5949800</f>
        <v>22649800</v>
      </c>
      <c r="F29" s="128">
        <v>17000000</v>
      </c>
      <c r="G29" s="120">
        <f t="shared" si="1"/>
        <v>5649800</v>
      </c>
      <c r="H29" s="121" t="s">
        <v>855</v>
      </c>
      <c r="I29" s="122" t="s">
        <v>821</v>
      </c>
      <c r="J29" s="119">
        <f>16700000+5949800</f>
        <v>22649800</v>
      </c>
      <c r="K29" s="124"/>
    </row>
    <row r="30" spans="1:11" s="125" customFormat="1" ht="18.75" customHeight="1">
      <c r="A30" s="381"/>
      <c r="B30" s="159" t="s">
        <v>856</v>
      </c>
      <c r="C30" s="127" t="s">
        <v>857</v>
      </c>
      <c r="D30" s="128">
        <v>0</v>
      </c>
      <c r="E30" s="119">
        <v>4483107</v>
      </c>
      <c r="F30" s="128">
        <v>0</v>
      </c>
      <c r="G30" s="120">
        <f t="shared" si="1"/>
        <v>4483107</v>
      </c>
      <c r="H30" s="121" t="s">
        <v>836</v>
      </c>
      <c r="I30" s="122" t="s">
        <v>821</v>
      </c>
      <c r="J30" s="119">
        <v>4483107</v>
      </c>
      <c r="K30" s="124"/>
    </row>
    <row r="31" spans="1:11" s="125" customFormat="1" ht="18.75" customHeight="1">
      <c r="A31" s="381"/>
      <c r="B31" s="159" t="s">
        <v>858</v>
      </c>
      <c r="C31" s="127" t="s">
        <v>857</v>
      </c>
      <c r="D31" s="128">
        <v>0</v>
      </c>
      <c r="E31" s="160">
        <v>7649400</v>
      </c>
      <c r="F31" s="128">
        <v>0</v>
      </c>
      <c r="G31" s="120">
        <f t="shared" si="1"/>
        <v>7649400</v>
      </c>
      <c r="H31" s="121" t="s">
        <v>836</v>
      </c>
      <c r="I31" s="122" t="s">
        <v>821</v>
      </c>
      <c r="J31" s="161">
        <v>7649400</v>
      </c>
      <c r="K31" s="124"/>
    </row>
    <row r="32" spans="1:11" s="125" customFormat="1" ht="18.75" customHeight="1">
      <c r="A32" s="381"/>
      <c r="B32" s="159" t="s">
        <v>859</v>
      </c>
      <c r="C32" s="127" t="s">
        <v>857</v>
      </c>
      <c r="D32" s="128">
        <v>0</v>
      </c>
      <c r="E32" s="119">
        <v>4800000</v>
      </c>
      <c r="F32" s="128">
        <v>0</v>
      </c>
      <c r="G32" s="120">
        <f t="shared" si="1"/>
        <v>4800000</v>
      </c>
      <c r="H32" s="121" t="s">
        <v>836</v>
      </c>
      <c r="I32" s="122" t="s">
        <v>821</v>
      </c>
      <c r="J32" s="119">
        <v>4800000</v>
      </c>
      <c r="K32" s="124"/>
    </row>
    <row r="33" spans="1:11" s="125" customFormat="1" ht="18.75" customHeight="1">
      <c r="A33" s="381"/>
      <c r="B33" s="159" t="s">
        <v>860</v>
      </c>
      <c r="C33" s="127" t="s">
        <v>857</v>
      </c>
      <c r="D33" s="128">
        <v>7600000</v>
      </c>
      <c r="E33" s="119">
        <v>8907400</v>
      </c>
      <c r="F33" s="128">
        <v>7600000</v>
      </c>
      <c r="G33" s="120">
        <f t="shared" si="1"/>
        <v>1307400</v>
      </c>
      <c r="H33" s="121" t="s">
        <v>836</v>
      </c>
      <c r="I33" s="122" t="s">
        <v>821</v>
      </c>
      <c r="J33" s="119">
        <v>8907400</v>
      </c>
      <c r="K33" s="124"/>
    </row>
    <row r="34" spans="1:11" s="125" customFormat="1" ht="18.75" customHeight="1">
      <c r="A34" s="381"/>
      <c r="B34" s="159" t="s">
        <v>861</v>
      </c>
      <c r="C34" s="127" t="s">
        <v>857</v>
      </c>
      <c r="D34" s="128">
        <v>31432000</v>
      </c>
      <c r="E34" s="119">
        <v>31432000</v>
      </c>
      <c r="F34" s="128">
        <v>31432000</v>
      </c>
      <c r="G34" s="120">
        <f t="shared" si="1"/>
        <v>0</v>
      </c>
      <c r="H34" s="121" t="s">
        <v>836</v>
      </c>
      <c r="I34" s="122" t="s">
        <v>821</v>
      </c>
      <c r="J34" s="119">
        <v>31432000</v>
      </c>
      <c r="K34" s="124"/>
    </row>
    <row r="35" spans="1:11" s="125" customFormat="1" ht="18.75" customHeight="1">
      <c r="A35" s="381"/>
      <c r="B35" s="159" t="s">
        <v>862</v>
      </c>
      <c r="C35" s="127" t="s">
        <v>857</v>
      </c>
      <c r="D35" s="128">
        <v>31432000</v>
      </c>
      <c r="E35" s="162">
        <f>31432000+2020000</f>
        <v>33452000</v>
      </c>
      <c r="F35" s="128">
        <v>31432000</v>
      </c>
      <c r="G35" s="120">
        <f t="shared" si="1"/>
        <v>2020000</v>
      </c>
      <c r="H35" s="121" t="s">
        <v>836</v>
      </c>
      <c r="I35" s="122" t="s">
        <v>821</v>
      </c>
      <c r="J35" s="119">
        <f>31432000+2020000</f>
        <v>33452000</v>
      </c>
      <c r="K35" s="124"/>
    </row>
    <row r="36" spans="1:11" s="125" customFormat="1" ht="18.75" customHeight="1">
      <c r="A36" s="381"/>
      <c r="B36" s="159" t="s">
        <v>863</v>
      </c>
      <c r="C36" s="127" t="s">
        <v>136</v>
      </c>
      <c r="D36" s="128">
        <v>2500000</v>
      </c>
      <c r="E36" s="146">
        <v>0</v>
      </c>
      <c r="F36" s="128">
        <v>2500000</v>
      </c>
      <c r="G36" s="120">
        <f t="shared" si="1"/>
        <v>-2500000</v>
      </c>
      <c r="H36" s="121" t="s">
        <v>136</v>
      </c>
      <c r="I36" s="122" t="s">
        <v>821</v>
      </c>
      <c r="J36" s="146">
        <v>0</v>
      </c>
      <c r="K36" s="124"/>
    </row>
    <row r="37" spans="1:11" s="125" customFormat="1" ht="18.75" customHeight="1">
      <c r="A37" s="381"/>
      <c r="B37" s="163" t="s">
        <v>811</v>
      </c>
      <c r="C37" s="147"/>
      <c r="D37" s="148">
        <f>SUM(D28:D36)</f>
        <v>189964000</v>
      </c>
      <c r="E37" s="148">
        <f>SUM(E28:E36)</f>
        <v>213373707</v>
      </c>
      <c r="F37" s="148">
        <f>SUM(F28:F36)</f>
        <v>189964000</v>
      </c>
      <c r="G37" s="149">
        <f t="shared" si="1"/>
        <v>23409707</v>
      </c>
      <c r="H37" s="150"/>
      <c r="I37" s="151"/>
      <c r="J37" s="155"/>
      <c r="K37" s="124"/>
    </row>
    <row r="38" spans="1:11" s="125" customFormat="1" ht="18.75" customHeight="1">
      <c r="A38" s="381"/>
      <c r="B38" s="159" t="s">
        <v>864</v>
      </c>
      <c r="C38" s="127" t="s">
        <v>116</v>
      </c>
      <c r="D38" s="128">
        <v>89896000</v>
      </c>
      <c r="E38" s="119">
        <v>98110000</v>
      </c>
      <c r="F38" s="128">
        <v>89896000</v>
      </c>
      <c r="G38" s="120">
        <f t="shared" si="1"/>
        <v>8214000</v>
      </c>
      <c r="H38" s="121" t="s">
        <v>865</v>
      </c>
      <c r="I38" s="122" t="s">
        <v>821</v>
      </c>
      <c r="J38" s="119">
        <v>98110000</v>
      </c>
      <c r="K38" s="124"/>
    </row>
    <row r="39" spans="1:11" s="125" customFormat="1" ht="18.75" customHeight="1">
      <c r="A39" s="381"/>
      <c r="B39" s="159" t="s">
        <v>866</v>
      </c>
      <c r="C39" s="129" t="s">
        <v>116</v>
      </c>
      <c r="D39" s="130">
        <v>88008000</v>
      </c>
      <c r="E39" s="119">
        <v>107258000</v>
      </c>
      <c r="F39" s="130">
        <v>88008000</v>
      </c>
      <c r="G39" s="120">
        <f t="shared" si="1"/>
        <v>19250000</v>
      </c>
      <c r="H39" s="121" t="s">
        <v>865</v>
      </c>
      <c r="I39" s="122" t="s">
        <v>821</v>
      </c>
      <c r="J39" s="119">
        <v>107258000</v>
      </c>
      <c r="K39" s="124"/>
    </row>
    <row r="40" spans="1:11" s="125" customFormat="1" ht="18.75" customHeight="1">
      <c r="A40" s="381"/>
      <c r="B40" s="159" t="s">
        <v>867</v>
      </c>
      <c r="C40" s="129" t="s">
        <v>116</v>
      </c>
      <c r="D40" s="130">
        <v>120106000</v>
      </c>
      <c r="E40" s="119">
        <f>106451800+100000000</f>
        <v>206451800</v>
      </c>
      <c r="F40" s="130">
        <v>120106000</v>
      </c>
      <c r="G40" s="120">
        <f t="shared" si="1"/>
        <v>86345800</v>
      </c>
      <c r="H40" s="121" t="s">
        <v>865</v>
      </c>
      <c r="I40" s="122" t="s">
        <v>821</v>
      </c>
      <c r="J40" s="119">
        <f>106451800+100000000</f>
        <v>206451800</v>
      </c>
      <c r="K40" s="124"/>
    </row>
    <row r="41" spans="1:11" s="125" customFormat="1" ht="18.75" customHeight="1">
      <c r="A41" s="381"/>
      <c r="B41" s="159" t="s">
        <v>868</v>
      </c>
      <c r="C41" s="129" t="s">
        <v>116</v>
      </c>
      <c r="D41" s="130">
        <v>121902300</v>
      </c>
      <c r="E41" s="119">
        <v>116000100</v>
      </c>
      <c r="F41" s="130">
        <v>121902300</v>
      </c>
      <c r="G41" s="120">
        <f t="shared" si="1"/>
        <v>-5902200</v>
      </c>
      <c r="H41" s="121" t="s">
        <v>865</v>
      </c>
      <c r="I41" s="122" t="s">
        <v>821</v>
      </c>
      <c r="J41" s="119">
        <v>116000100</v>
      </c>
      <c r="K41" s="124"/>
    </row>
    <row r="42" spans="1:11" s="125" customFormat="1" ht="18.75" customHeight="1">
      <c r="A42" s="381"/>
      <c r="B42" s="159" t="s">
        <v>869</v>
      </c>
      <c r="C42" s="129" t="s">
        <v>116</v>
      </c>
      <c r="D42" s="130">
        <v>20300000</v>
      </c>
      <c r="E42" s="119">
        <v>6148000</v>
      </c>
      <c r="F42" s="130">
        <v>20300000</v>
      </c>
      <c r="G42" s="120">
        <f t="shared" si="1"/>
        <v>-14152000</v>
      </c>
      <c r="H42" s="121" t="s">
        <v>865</v>
      </c>
      <c r="I42" s="122" t="s">
        <v>821</v>
      </c>
      <c r="J42" s="119">
        <v>6148000</v>
      </c>
      <c r="K42" s="124"/>
    </row>
    <row r="43" spans="1:11" s="125" customFormat="1" ht="18.75" customHeight="1">
      <c r="A43" s="381"/>
      <c r="B43" s="159" t="s">
        <v>870</v>
      </c>
      <c r="C43" s="129" t="s">
        <v>116</v>
      </c>
      <c r="D43" s="130">
        <v>0</v>
      </c>
      <c r="E43" s="119">
        <v>2000000</v>
      </c>
      <c r="F43" s="130">
        <v>0</v>
      </c>
      <c r="G43" s="120">
        <f t="shared" si="1"/>
        <v>2000000</v>
      </c>
      <c r="H43" s="121" t="s">
        <v>871</v>
      </c>
      <c r="I43" s="122" t="s">
        <v>821</v>
      </c>
      <c r="J43" s="119">
        <v>2000000</v>
      </c>
      <c r="K43" s="124"/>
    </row>
    <row r="44" spans="1:11" s="125" customFormat="1" ht="18.75" customHeight="1">
      <c r="A44" s="381"/>
      <c r="B44" s="159" t="s">
        <v>872</v>
      </c>
      <c r="C44" s="129" t="s">
        <v>116</v>
      </c>
      <c r="D44" s="130">
        <v>0</v>
      </c>
      <c r="E44" s="119">
        <v>4500000</v>
      </c>
      <c r="F44" s="130">
        <v>0</v>
      </c>
      <c r="G44" s="120">
        <f t="shared" si="1"/>
        <v>4500000</v>
      </c>
      <c r="H44" s="121" t="s">
        <v>873</v>
      </c>
      <c r="I44" s="122" t="s">
        <v>821</v>
      </c>
      <c r="J44" s="119">
        <v>4500000</v>
      </c>
      <c r="K44" s="124"/>
    </row>
    <row r="45" spans="1:11" s="125" customFormat="1" ht="18.75" customHeight="1">
      <c r="A45" s="381"/>
      <c r="B45" s="159" t="s">
        <v>874</v>
      </c>
      <c r="C45" s="129" t="s">
        <v>116</v>
      </c>
      <c r="D45" s="130">
        <v>62848000</v>
      </c>
      <c r="E45" s="119">
        <v>64088000</v>
      </c>
      <c r="F45" s="130">
        <v>62848000</v>
      </c>
      <c r="G45" s="120">
        <f t="shared" si="1"/>
        <v>1240000</v>
      </c>
      <c r="H45" s="121" t="s">
        <v>865</v>
      </c>
      <c r="I45" s="122" t="s">
        <v>821</v>
      </c>
      <c r="J45" s="119">
        <v>64088000</v>
      </c>
      <c r="K45" s="124"/>
    </row>
    <row r="46" spans="1:11" s="125" customFormat="1" ht="18.75" customHeight="1">
      <c r="A46" s="381"/>
      <c r="B46" s="159" t="s">
        <v>875</v>
      </c>
      <c r="C46" s="129" t="s">
        <v>116</v>
      </c>
      <c r="D46" s="130">
        <v>72584800</v>
      </c>
      <c r="E46" s="119">
        <v>69056000</v>
      </c>
      <c r="F46" s="130">
        <v>72584800</v>
      </c>
      <c r="G46" s="120">
        <f t="shared" si="1"/>
        <v>-3528800</v>
      </c>
      <c r="H46" s="121" t="s">
        <v>865</v>
      </c>
      <c r="I46" s="122" t="s">
        <v>821</v>
      </c>
      <c r="J46" s="119">
        <v>69056000</v>
      </c>
      <c r="K46" s="124"/>
    </row>
    <row r="47" spans="1:11" s="125" customFormat="1" ht="18.75" customHeight="1">
      <c r="A47" s="381"/>
      <c r="B47" s="159" t="s">
        <v>876</v>
      </c>
      <c r="C47" s="129" t="s">
        <v>116</v>
      </c>
      <c r="D47" s="130">
        <v>80764000</v>
      </c>
      <c r="E47" s="162">
        <v>76384000</v>
      </c>
      <c r="F47" s="130">
        <v>80764000</v>
      </c>
      <c r="G47" s="120">
        <f t="shared" si="1"/>
        <v>-4380000</v>
      </c>
      <c r="H47" s="121" t="s">
        <v>865</v>
      </c>
      <c r="I47" s="122" t="s">
        <v>821</v>
      </c>
      <c r="J47" s="119">
        <v>76384000</v>
      </c>
      <c r="K47" s="124"/>
    </row>
    <row r="48" spans="1:11" s="125" customFormat="1" ht="18.75" customHeight="1">
      <c r="A48" s="381"/>
      <c r="B48" s="164" t="s">
        <v>877</v>
      </c>
      <c r="C48" s="165" t="s">
        <v>116</v>
      </c>
      <c r="D48" s="166">
        <v>41000000</v>
      </c>
      <c r="E48" s="162">
        <v>39230000</v>
      </c>
      <c r="F48" s="166">
        <v>41000000</v>
      </c>
      <c r="G48" s="120">
        <f t="shared" si="1"/>
        <v>-1770000</v>
      </c>
      <c r="H48" s="121" t="s">
        <v>865</v>
      </c>
      <c r="I48" s="122" t="s">
        <v>821</v>
      </c>
      <c r="J48" s="119">
        <v>39230000</v>
      </c>
      <c r="K48" s="124"/>
    </row>
    <row r="49" spans="1:11" s="125" customFormat="1" ht="18.75" customHeight="1">
      <c r="A49" s="384"/>
      <c r="B49" s="167" t="s">
        <v>811</v>
      </c>
      <c r="C49" s="163"/>
      <c r="D49" s="168">
        <f>SUM(D38:D48)</f>
        <v>697409100</v>
      </c>
      <c r="E49" s="168">
        <f>SUM(E38:E48)</f>
        <v>789225900</v>
      </c>
      <c r="F49" s="168">
        <f>SUM(F38:F48)</f>
        <v>697409100</v>
      </c>
      <c r="G49" s="149">
        <f t="shared" si="1"/>
        <v>91816800</v>
      </c>
      <c r="H49" s="150"/>
      <c r="I49" s="151"/>
      <c r="J49" s="155"/>
      <c r="K49" s="124"/>
    </row>
    <row r="50" spans="1:11" s="125" customFormat="1" ht="18.75" customHeight="1">
      <c r="A50" s="381"/>
      <c r="B50" s="156" t="s">
        <v>878</v>
      </c>
      <c r="C50" s="169" t="s">
        <v>857</v>
      </c>
      <c r="D50" s="170">
        <v>0</v>
      </c>
      <c r="E50" s="119">
        <v>3186362</v>
      </c>
      <c r="F50" s="170">
        <v>0</v>
      </c>
      <c r="G50" s="120">
        <f t="shared" si="1"/>
        <v>3186362</v>
      </c>
      <c r="H50" s="121" t="s">
        <v>879</v>
      </c>
      <c r="I50" s="122" t="s">
        <v>821</v>
      </c>
      <c r="J50" s="119">
        <v>3186362</v>
      </c>
      <c r="K50" s="124"/>
    </row>
    <row r="51" spans="1:11" s="125" customFormat="1" ht="18.75" customHeight="1">
      <c r="A51" s="381"/>
      <c r="B51" s="159" t="s">
        <v>880</v>
      </c>
      <c r="C51" s="127" t="s">
        <v>857</v>
      </c>
      <c r="D51" s="128">
        <v>2350000</v>
      </c>
      <c r="E51" s="119">
        <f>2797600+2303700</f>
        <v>5101300</v>
      </c>
      <c r="F51" s="128">
        <v>2350000</v>
      </c>
      <c r="G51" s="120">
        <f t="shared" si="1"/>
        <v>2751300</v>
      </c>
      <c r="H51" s="121" t="s">
        <v>881</v>
      </c>
      <c r="I51" s="122" t="s">
        <v>821</v>
      </c>
      <c r="J51" s="119">
        <f>2797600+2303700</f>
        <v>5101300</v>
      </c>
      <c r="K51" s="124"/>
    </row>
    <row r="52" spans="1:11" s="125" customFormat="1" ht="18.75" customHeight="1">
      <c r="A52" s="381"/>
      <c r="B52" s="159" t="s">
        <v>882</v>
      </c>
      <c r="C52" s="127" t="s">
        <v>857</v>
      </c>
      <c r="D52" s="128">
        <v>19000000</v>
      </c>
      <c r="E52" s="119">
        <v>0</v>
      </c>
      <c r="F52" s="128">
        <v>19000000</v>
      </c>
      <c r="G52" s="120">
        <f t="shared" si="1"/>
        <v>-19000000</v>
      </c>
      <c r="H52" s="121" t="s">
        <v>136</v>
      </c>
      <c r="I52" s="122" t="s">
        <v>821</v>
      </c>
      <c r="J52" s="119">
        <v>0</v>
      </c>
      <c r="K52" s="124"/>
    </row>
    <row r="53" spans="1:11" s="125" customFormat="1" ht="18.75" customHeight="1">
      <c r="A53" s="381"/>
      <c r="B53" s="131" t="s">
        <v>883</v>
      </c>
      <c r="C53" s="127" t="s">
        <v>857</v>
      </c>
      <c r="D53" s="128">
        <v>270000000</v>
      </c>
      <c r="E53" s="119">
        <v>270000000</v>
      </c>
      <c r="F53" s="128">
        <v>270000000</v>
      </c>
      <c r="G53" s="120">
        <f t="shared" si="1"/>
        <v>0</v>
      </c>
      <c r="H53" s="121" t="s">
        <v>884</v>
      </c>
      <c r="I53" s="122" t="s">
        <v>821</v>
      </c>
      <c r="J53" s="119">
        <v>270000000</v>
      </c>
      <c r="K53" s="124"/>
    </row>
    <row r="54" spans="1:11" s="125" customFormat="1" ht="18.75" customHeight="1">
      <c r="A54" s="384"/>
      <c r="B54" s="147" t="s">
        <v>811</v>
      </c>
      <c r="C54" s="147"/>
      <c r="D54" s="148">
        <f>SUM(D50:D53)</f>
        <v>291350000</v>
      </c>
      <c r="E54" s="148">
        <f>SUM(E50:E53)</f>
        <v>278287662</v>
      </c>
      <c r="F54" s="148">
        <f>SUM(F50:F53)</f>
        <v>291350000</v>
      </c>
      <c r="G54" s="149">
        <f t="shared" si="1"/>
        <v>-13062338</v>
      </c>
      <c r="H54" s="150"/>
      <c r="I54" s="151"/>
      <c r="J54" s="155"/>
      <c r="K54" s="124"/>
    </row>
    <row r="55" spans="1:11" s="141" customFormat="1" ht="18.75" customHeight="1" thickBot="1">
      <c r="A55" s="385"/>
      <c r="B55" s="134" t="s">
        <v>188</v>
      </c>
      <c r="C55" s="134"/>
      <c r="D55" s="135">
        <f>+D20+D27+D37+D49+D54</f>
        <v>2147473100</v>
      </c>
      <c r="E55" s="135">
        <f>+E20+E27+E37+E49+E54</f>
        <v>2482006319</v>
      </c>
      <c r="F55" s="135">
        <f>+F20+F27+F37+F49+F54</f>
        <v>2147473100</v>
      </c>
      <c r="G55" s="136">
        <f t="shared" si="1"/>
        <v>334533219</v>
      </c>
      <c r="H55" s="137"/>
      <c r="I55" s="138"/>
      <c r="J55" s="139"/>
      <c r="K55" s="140"/>
    </row>
    <row r="56" spans="1:11" s="125" customFormat="1" ht="21" customHeight="1" thickTop="1">
      <c r="A56" s="380" t="s">
        <v>885</v>
      </c>
      <c r="B56" s="116" t="s">
        <v>886</v>
      </c>
      <c r="C56" s="127" t="s">
        <v>841</v>
      </c>
      <c r="D56" s="128">
        <v>0</v>
      </c>
      <c r="E56" s="119">
        <v>4900000</v>
      </c>
      <c r="F56" s="128">
        <v>0</v>
      </c>
      <c r="G56" s="120">
        <f t="shared" si="1"/>
        <v>4900000</v>
      </c>
      <c r="H56" s="121" t="s">
        <v>1146</v>
      </c>
      <c r="I56" s="122" t="s">
        <v>821</v>
      </c>
      <c r="J56" s="119">
        <v>4900000</v>
      </c>
      <c r="K56" s="124"/>
    </row>
    <row r="57" spans="1:11" s="125" customFormat="1" ht="21" customHeight="1">
      <c r="A57" s="381"/>
      <c r="B57" s="159" t="s">
        <v>883</v>
      </c>
      <c r="C57" s="127" t="s">
        <v>123</v>
      </c>
      <c r="D57" s="128">
        <v>54000000</v>
      </c>
      <c r="E57" s="119">
        <f>54000000</f>
        <v>54000000</v>
      </c>
      <c r="F57" s="128">
        <v>54000000</v>
      </c>
      <c r="G57" s="120">
        <f t="shared" si="1"/>
        <v>0</v>
      </c>
      <c r="H57" s="121" t="s">
        <v>887</v>
      </c>
      <c r="I57" s="122" t="s">
        <v>821</v>
      </c>
      <c r="J57" s="119">
        <f>54000000</f>
        <v>54000000</v>
      </c>
      <c r="K57" s="124"/>
    </row>
    <row r="58" spans="1:11" s="125" customFormat="1" ht="21" customHeight="1">
      <c r="A58" s="381"/>
      <c r="B58" s="159" t="s">
        <v>888</v>
      </c>
      <c r="C58" s="171" t="s">
        <v>889</v>
      </c>
      <c r="D58" s="172">
        <v>0</v>
      </c>
      <c r="E58" s="119">
        <v>13570000</v>
      </c>
      <c r="F58" s="172">
        <v>0</v>
      </c>
      <c r="G58" s="120">
        <f t="shared" si="1"/>
        <v>13570000</v>
      </c>
      <c r="H58" s="121" t="s">
        <v>890</v>
      </c>
      <c r="I58" s="122" t="s">
        <v>821</v>
      </c>
      <c r="J58" s="119">
        <v>13570000</v>
      </c>
      <c r="K58" s="124"/>
    </row>
    <row r="59" spans="1:11" s="125" customFormat="1" ht="21" customHeight="1">
      <c r="A59" s="381"/>
      <c r="B59" s="159" t="s">
        <v>891</v>
      </c>
      <c r="C59" s="127" t="s">
        <v>892</v>
      </c>
      <c r="D59" s="128">
        <v>0</v>
      </c>
      <c r="E59" s="119">
        <v>10800000</v>
      </c>
      <c r="F59" s="128">
        <v>0</v>
      </c>
      <c r="G59" s="120">
        <f t="shared" si="1"/>
        <v>10800000</v>
      </c>
      <c r="H59" s="121" t="s">
        <v>893</v>
      </c>
      <c r="I59" s="122" t="s">
        <v>821</v>
      </c>
      <c r="J59" s="119">
        <v>10800000</v>
      </c>
      <c r="K59" s="124"/>
    </row>
    <row r="60" spans="1:11" s="125" customFormat="1" ht="21" customHeight="1">
      <c r="A60" s="381"/>
      <c r="B60" s="159" t="s">
        <v>894</v>
      </c>
      <c r="C60" s="127" t="s">
        <v>857</v>
      </c>
      <c r="D60" s="128">
        <v>0</v>
      </c>
      <c r="E60" s="119">
        <v>14000000</v>
      </c>
      <c r="F60" s="128">
        <v>0</v>
      </c>
      <c r="G60" s="120">
        <f t="shared" si="1"/>
        <v>14000000</v>
      </c>
      <c r="H60" s="121" t="s">
        <v>865</v>
      </c>
      <c r="I60" s="122" t="s">
        <v>821</v>
      </c>
      <c r="J60" s="119">
        <v>14000000</v>
      </c>
      <c r="K60" s="124"/>
    </row>
    <row r="61" spans="1:11" s="125" customFormat="1" ht="21" customHeight="1">
      <c r="A61" s="381"/>
      <c r="B61" s="131" t="s">
        <v>895</v>
      </c>
      <c r="C61" s="127" t="s">
        <v>857</v>
      </c>
      <c r="D61" s="128">
        <v>80000000</v>
      </c>
      <c r="E61" s="119">
        <v>85000000</v>
      </c>
      <c r="F61" s="128">
        <v>80000000</v>
      </c>
      <c r="G61" s="120">
        <f t="shared" si="1"/>
        <v>5000000</v>
      </c>
      <c r="H61" s="121" t="s">
        <v>865</v>
      </c>
      <c r="I61" s="122" t="s">
        <v>821</v>
      </c>
      <c r="J61" s="119">
        <v>85000000</v>
      </c>
      <c r="K61" s="124"/>
    </row>
    <row r="62" spans="1:11" s="180" customFormat="1" ht="21" customHeight="1">
      <c r="A62" s="382"/>
      <c r="B62" s="173" t="s">
        <v>188</v>
      </c>
      <c r="C62" s="173"/>
      <c r="D62" s="174">
        <f>SUM(D56:D61)</f>
        <v>134000000</v>
      </c>
      <c r="E62" s="174">
        <f>SUM(E56:E61)</f>
        <v>182270000</v>
      </c>
      <c r="F62" s="174">
        <f>SUM(F56:F61)</f>
        <v>134000000</v>
      </c>
      <c r="G62" s="175">
        <f>E62-D62</f>
        <v>48270000</v>
      </c>
      <c r="H62" s="176"/>
      <c r="I62" s="177"/>
      <c r="J62" s="178"/>
      <c r="K62" s="179"/>
    </row>
    <row r="63" spans="1:11" s="125" customFormat="1" ht="18.75" customHeight="1">
      <c r="A63" s="383" t="s">
        <v>194</v>
      </c>
      <c r="B63" s="157" t="s">
        <v>896</v>
      </c>
      <c r="C63" s="157" t="s">
        <v>196</v>
      </c>
      <c r="D63" s="158">
        <v>20000000</v>
      </c>
      <c r="E63" s="181">
        <v>12000000</v>
      </c>
      <c r="F63" s="158">
        <v>20000000</v>
      </c>
      <c r="G63" s="149">
        <f>E63-D63</f>
        <v>-8000000</v>
      </c>
      <c r="H63" s="182" t="s">
        <v>897</v>
      </c>
      <c r="I63" s="183" t="s">
        <v>821</v>
      </c>
      <c r="J63" s="181">
        <v>12000000</v>
      </c>
      <c r="K63" s="124"/>
    </row>
    <row r="64" spans="1:11" s="125" customFormat="1" ht="18.75" customHeight="1">
      <c r="A64" s="384"/>
      <c r="B64" s="147" t="s">
        <v>811</v>
      </c>
      <c r="C64" s="147"/>
      <c r="D64" s="148">
        <f>D63</f>
        <v>20000000</v>
      </c>
      <c r="E64" s="148">
        <f>E63</f>
        <v>12000000</v>
      </c>
      <c r="F64" s="148">
        <f>F63</f>
        <v>20000000</v>
      </c>
      <c r="G64" s="149">
        <f>E64-D64</f>
        <v>-8000000</v>
      </c>
      <c r="H64" s="150"/>
      <c r="I64" s="151"/>
      <c r="J64" s="155"/>
      <c r="K64" s="124"/>
    </row>
    <row r="65" spans="1:11" s="125" customFormat="1" ht="18.75" customHeight="1">
      <c r="A65" s="384"/>
      <c r="B65" s="184" t="s">
        <v>898</v>
      </c>
      <c r="C65" s="184"/>
      <c r="D65" s="128">
        <v>106313937</v>
      </c>
      <c r="E65" s="119">
        <f>SUM(E66:E77)</f>
        <v>110018439</v>
      </c>
      <c r="F65" s="128">
        <v>106313937</v>
      </c>
      <c r="G65" s="120">
        <f>E65-D65</f>
        <v>3704502</v>
      </c>
      <c r="H65" s="121"/>
      <c r="I65" s="185"/>
      <c r="J65" s="133"/>
      <c r="K65" s="124"/>
    </row>
    <row r="66" spans="1:11" s="125" customFormat="1" ht="18.75" customHeight="1">
      <c r="A66" s="381"/>
      <c r="B66" s="159" t="s">
        <v>899</v>
      </c>
      <c r="C66" s="127" t="s">
        <v>900</v>
      </c>
      <c r="D66" s="128"/>
      <c r="E66" s="119">
        <v>15000000</v>
      </c>
      <c r="F66" s="128"/>
      <c r="G66" s="186"/>
      <c r="H66" s="121" t="s">
        <v>900</v>
      </c>
      <c r="I66" s="122" t="s">
        <v>821</v>
      </c>
      <c r="J66" s="119">
        <v>15000000</v>
      </c>
      <c r="K66" s="124"/>
    </row>
    <row r="67" spans="1:11" s="125" customFormat="1" ht="18.75" customHeight="1">
      <c r="A67" s="381"/>
      <c r="B67" s="159" t="s">
        <v>901</v>
      </c>
      <c r="C67" s="127" t="s">
        <v>900</v>
      </c>
      <c r="D67" s="128"/>
      <c r="E67" s="119">
        <f>23500000+4472838</f>
        <v>27972838</v>
      </c>
      <c r="F67" s="128"/>
      <c r="G67" s="186"/>
      <c r="H67" s="121" t="s">
        <v>902</v>
      </c>
      <c r="I67" s="122" t="s">
        <v>821</v>
      </c>
      <c r="J67" s="119">
        <v>27972838</v>
      </c>
      <c r="K67" s="124"/>
    </row>
    <row r="68" spans="1:11" s="125" customFormat="1" ht="18.75" customHeight="1">
      <c r="A68" s="381"/>
      <c r="B68" s="159" t="s">
        <v>903</v>
      </c>
      <c r="C68" s="127" t="s">
        <v>813</v>
      </c>
      <c r="D68" s="128"/>
      <c r="E68" s="119">
        <f>2151300+1157900</f>
        <v>3309200</v>
      </c>
      <c r="F68" s="128"/>
      <c r="G68" s="186"/>
      <c r="H68" s="121" t="s">
        <v>904</v>
      </c>
      <c r="I68" s="122" t="s">
        <v>821</v>
      </c>
      <c r="J68" s="119">
        <f>2151300+1157900</f>
        <v>3309200</v>
      </c>
      <c r="K68" s="124"/>
    </row>
    <row r="69" spans="1:11" s="125" customFormat="1" ht="18.75" customHeight="1">
      <c r="A69" s="381"/>
      <c r="B69" s="159" t="s">
        <v>905</v>
      </c>
      <c r="C69" s="127" t="s">
        <v>906</v>
      </c>
      <c r="D69" s="128"/>
      <c r="E69" s="119">
        <v>4154082</v>
      </c>
      <c r="F69" s="128"/>
      <c r="G69" s="186"/>
      <c r="H69" s="121" t="s">
        <v>907</v>
      </c>
      <c r="I69" s="122" t="s">
        <v>821</v>
      </c>
      <c r="J69" s="119">
        <v>4154082</v>
      </c>
      <c r="K69" s="124"/>
    </row>
    <row r="70" spans="1:11" s="125" customFormat="1" ht="18.75" customHeight="1">
      <c r="A70" s="381"/>
      <c r="B70" s="159" t="s">
        <v>908</v>
      </c>
      <c r="C70" s="127" t="s">
        <v>900</v>
      </c>
      <c r="D70" s="128"/>
      <c r="E70" s="119">
        <f>6150000</f>
        <v>6150000</v>
      </c>
      <c r="F70" s="128"/>
      <c r="G70" s="186"/>
      <c r="H70" s="121" t="s">
        <v>909</v>
      </c>
      <c r="I70" s="122" t="s">
        <v>821</v>
      </c>
      <c r="J70" s="119">
        <f>6150000</f>
        <v>6150000</v>
      </c>
      <c r="K70" s="124"/>
    </row>
    <row r="71" spans="1:11" s="125" customFormat="1" ht="18.75" customHeight="1">
      <c r="A71" s="381"/>
      <c r="B71" s="159" t="s">
        <v>910</v>
      </c>
      <c r="C71" s="127" t="s">
        <v>900</v>
      </c>
      <c r="D71" s="128"/>
      <c r="E71" s="119">
        <v>1810000</v>
      </c>
      <c r="F71" s="128"/>
      <c r="G71" s="186"/>
      <c r="H71" s="121" t="s">
        <v>911</v>
      </c>
      <c r="I71" s="122" t="s">
        <v>821</v>
      </c>
      <c r="J71" s="119">
        <v>1810000</v>
      </c>
      <c r="K71" s="124"/>
    </row>
    <row r="72" spans="1:11" s="125" customFormat="1" ht="18.75" customHeight="1">
      <c r="A72" s="381"/>
      <c r="B72" s="159" t="s">
        <v>912</v>
      </c>
      <c r="C72" s="127" t="s">
        <v>913</v>
      </c>
      <c r="D72" s="128"/>
      <c r="E72" s="119">
        <f>12014090+11517995</f>
        <v>23532085</v>
      </c>
      <c r="F72" s="128"/>
      <c r="G72" s="186"/>
      <c r="H72" s="121" t="s">
        <v>914</v>
      </c>
      <c r="I72" s="122" t="s">
        <v>821</v>
      </c>
      <c r="J72" s="119">
        <f>12014090+11517995</f>
        <v>23532085</v>
      </c>
      <c r="K72" s="124"/>
    </row>
    <row r="73" spans="1:11" s="125" customFormat="1" ht="18.75" customHeight="1">
      <c r="A73" s="381"/>
      <c r="B73" s="126" t="s">
        <v>915</v>
      </c>
      <c r="C73" s="127" t="s">
        <v>148</v>
      </c>
      <c r="D73" s="128"/>
      <c r="E73" s="119">
        <v>22540734</v>
      </c>
      <c r="F73" s="128"/>
      <c r="G73" s="186"/>
      <c r="H73" s="121" t="s">
        <v>916</v>
      </c>
      <c r="I73" s="122" t="s">
        <v>821</v>
      </c>
      <c r="J73" s="119">
        <v>22540734</v>
      </c>
      <c r="K73" s="124"/>
    </row>
    <row r="74" spans="1:11" s="125" customFormat="1" ht="18.75" customHeight="1">
      <c r="A74" s="381"/>
      <c r="B74" s="159" t="s">
        <v>917</v>
      </c>
      <c r="C74" s="127" t="s">
        <v>918</v>
      </c>
      <c r="D74" s="128"/>
      <c r="E74" s="119">
        <v>4000000</v>
      </c>
      <c r="F74" s="128"/>
      <c r="G74" s="186"/>
      <c r="H74" s="121" t="s">
        <v>919</v>
      </c>
      <c r="I74" s="122" t="s">
        <v>821</v>
      </c>
      <c r="J74" s="119">
        <v>4000000</v>
      </c>
      <c r="K74" s="124"/>
    </row>
    <row r="75" spans="1:11" s="125" customFormat="1" ht="18.75" customHeight="1">
      <c r="A75" s="381"/>
      <c r="B75" s="159" t="s">
        <v>920</v>
      </c>
      <c r="C75" s="127" t="s">
        <v>813</v>
      </c>
      <c r="D75" s="128"/>
      <c r="E75" s="162">
        <f>755000+61000</f>
        <v>816000</v>
      </c>
      <c r="F75" s="128"/>
      <c r="G75" s="186"/>
      <c r="H75" s="121" t="s">
        <v>921</v>
      </c>
      <c r="I75" s="122" t="s">
        <v>821</v>
      </c>
      <c r="J75" s="119">
        <f>755000+61000</f>
        <v>816000</v>
      </c>
      <c r="K75" s="124"/>
    </row>
    <row r="76" spans="1:11" s="125" customFormat="1" ht="18.75" customHeight="1">
      <c r="A76" s="381"/>
      <c r="B76" s="159" t="s">
        <v>922</v>
      </c>
      <c r="C76" s="127" t="s">
        <v>813</v>
      </c>
      <c r="D76" s="128"/>
      <c r="E76" s="162">
        <v>633500</v>
      </c>
      <c r="F76" s="128"/>
      <c r="G76" s="186"/>
      <c r="H76" s="121" t="s">
        <v>923</v>
      </c>
      <c r="I76" s="122" t="s">
        <v>821</v>
      </c>
      <c r="J76" s="119">
        <v>633500</v>
      </c>
      <c r="K76" s="124"/>
    </row>
    <row r="77" spans="1:11" s="125" customFormat="1" ht="18.75" customHeight="1">
      <c r="A77" s="381"/>
      <c r="B77" s="131" t="s">
        <v>924</v>
      </c>
      <c r="C77" s="127" t="s">
        <v>813</v>
      </c>
      <c r="D77" s="128"/>
      <c r="E77" s="119">
        <v>100000</v>
      </c>
      <c r="F77" s="128"/>
      <c r="G77" s="186"/>
      <c r="H77" s="121" t="s">
        <v>925</v>
      </c>
      <c r="I77" s="122" t="s">
        <v>821</v>
      </c>
      <c r="J77" s="119">
        <v>100000</v>
      </c>
      <c r="K77" s="124"/>
    </row>
    <row r="78" spans="1:11" s="125" customFormat="1" ht="18.75" customHeight="1">
      <c r="A78" s="384"/>
      <c r="B78" s="147" t="s">
        <v>811</v>
      </c>
      <c r="C78" s="147"/>
      <c r="D78" s="148">
        <f>SUM(D65:D77)</f>
        <v>106313937</v>
      </c>
      <c r="E78" s="148">
        <f>E65</f>
        <v>110018439</v>
      </c>
      <c r="F78" s="148">
        <f>SUM(F65:F77)</f>
        <v>106313937</v>
      </c>
      <c r="G78" s="149">
        <f t="shared" ref="G78:G89" si="2">E78-D78</f>
        <v>3704502</v>
      </c>
      <c r="H78" s="150"/>
      <c r="I78" s="151"/>
      <c r="J78" s="155"/>
      <c r="K78" s="124"/>
    </row>
    <row r="79" spans="1:11" s="141" customFormat="1" ht="18.75" customHeight="1" thickBot="1">
      <c r="A79" s="385"/>
      <c r="B79" s="187" t="s">
        <v>188</v>
      </c>
      <c r="C79" s="187"/>
      <c r="D79" s="188">
        <f>+D64+D78</f>
        <v>126313937</v>
      </c>
      <c r="E79" s="188">
        <f>+E64+E78</f>
        <v>122018439</v>
      </c>
      <c r="F79" s="188">
        <f>+F64+F78</f>
        <v>126313937</v>
      </c>
      <c r="G79" s="136">
        <f t="shared" si="2"/>
        <v>-4295498</v>
      </c>
      <c r="H79" s="137"/>
      <c r="I79" s="138"/>
      <c r="J79" s="139"/>
      <c r="K79" s="140"/>
    </row>
    <row r="80" spans="1:11" s="125" customFormat="1" ht="18.75" customHeight="1" thickTop="1">
      <c r="A80" s="386" t="s">
        <v>926</v>
      </c>
      <c r="B80" s="189" t="s">
        <v>927</v>
      </c>
      <c r="C80" s="190" t="s">
        <v>928</v>
      </c>
      <c r="D80" s="191">
        <v>3900000000</v>
      </c>
      <c r="E80" s="192">
        <v>3900000000</v>
      </c>
      <c r="F80" s="191">
        <v>3900000000</v>
      </c>
      <c r="G80" s="193">
        <f t="shared" si="2"/>
        <v>0</v>
      </c>
      <c r="H80" s="437" t="s">
        <v>1147</v>
      </c>
      <c r="I80" s="194"/>
      <c r="J80" s="195"/>
      <c r="K80" s="124"/>
    </row>
    <row r="81" spans="1:11" s="125" customFormat="1" ht="18.75" customHeight="1">
      <c r="A81" s="387"/>
      <c r="B81" s="361" t="s">
        <v>929</v>
      </c>
      <c r="C81" s="156" t="s">
        <v>930</v>
      </c>
      <c r="D81" s="128">
        <v>150000000</v>
      </c>
      <c r="E81" s="119">
        <v>150000000</v>
      </c>
      <c r="F81" s="128">
        <v>150000000</v>
      </c>
      <c r="G81" s="197">
        <f t="shared" si="2"/>
        <v>0</v>
      </c>
      <c r="H81" s="198" t="s">
        <v>930</v>
      </c>
      <c r="I81" s="122" t="s">
        <v>821</v>
      </c>
      <c r="J81" s="119">
        <v>150000000</v>
      </c>
      <c r="K81" s="124"/>
    </row>
    <row r="82" spans="1:11" s="125" customFormat="1" ht="18.75" customHeight="1">
      <c r="A82" s="387"/>
      <c r="B82" s="362"/>
      <c r="C82" s="159" t="s">
        <v>931</v>
      </c>
      <c r="D82" s="128">
        <v>80000000</v>
      </c>
      <c r="E82" s="119">
        <v>80000000</v>
      </c>
      <c r="F82" s="128">
        <v>80000000</v>
      </c>
      <c r="G82" s="197">
        <f t="shared" si="2"/>
        <v>0</v>
      </c>
      <c r="H82" s="199" t="s">
        <v>931</v>
      </c>
      <c r="I82" s="122" t="s">
        <v>821</v>
      </c>
      <c r="J82" s="119">
        <v>80000000</v>
      </c>
      <c r="K82" s="124"/>
    </row>
    <row r="83" spans="1:11" s="125" customFormat="1" ht="18.75" customHeight="1">
      <c r="A83" s="387"/>
      <c r="B83" s="362"/>
      <c r="C83" s="159" t="s">
        <v>932</v>
      </c>
      <c r="D83" s="128">
        <v>17200000</v>
      </c>
      <c r="E83" s="162">
        <f>8880000+7590000</f>
        <v>16470000</v>
      </c>
      <c r="F83" s="128">
        <v>17200000</v>
      </c>
      <c r="G83" s="197">
        <f t="shared" si="2"/>
        <v>-730000</v>
      </c>
      <c r="H83" s="199" t="s">
        <v>932</v>
      </c>
      <c r="I83" s="122" t="s">
        <v>821</v>
      </c>
      <c r="J83" s="119">
        <f>8880000+7590000</f>
        <v>16470000</v>
      </c>
      <c r="K83" s="124"/>
    </row>
    <row r="84" spans="1:11" s="125" customFormat="1" ht="18.75" customHeight="1">
      <c r="A84" s="387"/>
      <c r="B84" s="362"/>
      <c r="C84" s="159" t="s">
        <v>933</v>
      </c>
      <c r="D84" s="128">
        <v>10000000</v>
      </c>
      <c r="E84" s="119">
        <v>4480000</v>
      </c>
      <c r="F84" s="128">
        <v>10000000</v>
      </c>
      <c r="G84" s="197">
        <f t="shared" si="2"/>
        <v>-5520000</v>
      </c>
      <c r="H84" s="199" t="s">
        <v>933</v>
      </c>
      <c r="I84" s="122" t="s">
        <v>821</v>
      </c>
      <c r="J84" s="119">
        <v>4480000</v>
      </c>
      <c r="K84" s="124"/>
    </row>
    <row r="85" spans="1:11" s="125" customFormat="1" ht="18.75" customHeight="1">
      <c r="A85" s="387"/>
      <c r="B85" s="362"/>
      <c r="C85" s="159" t="s">
        <v>934</v>
      </c>
      <c r="D85" s="128">
        <v>160000000</v>
      </c>
      <c r="E85" s="119">
        <v>150000000</v>
      </c>
      <c r="F85" s="128">
        <v>160000000</v>
      </c>
      <c r="G85" s="197">
        <f t="shared" si="2"/>
        <v>-10000000</v>
      </c>
      <c r="H85" s="199" t="s">
        <v>934</v>
      </c>
      <c r="I85" s="122" t="s">
        <v>821</v>
      </c>
      <c r="J85" s="119">
        <v>150000000</v>
      </c>
      <c r="K85" s="124"/>
    </row>
    <row r="86" spans="1:11" s="125" customFormat="1" ht="18.75" customHeight="1">
      <c r="A86" s="387"/>
      <c r="B86" s="362"/>
      <c r="C86" s="159" t="s">
        <v>935</v>
      </c>
      <c r="D86" s="128">
        <v>70000000</v>
      </c>
      <c r="E86" s="119">
        <v>40000000</v>
      </c>
      <c r="F86" s="128">
        <v>70000000</v>
      </c>
      <c r="G86" s="197">
        <f t="shared" si="2"/>
        <v>-30000000</v>
      </c>
      <c r="H86" s="199" t="s">
        <v>935</v>
      </c>
      <c r="I86" s="122" t="s">
        <v>821</v>
      </c>
      <c r="J86" s="119">
        <v>40000000</v>
      </c>
      <c r="K86" s="124"/>
    </row>
    <row r="87" spans="1:11" s="125" customFormat="1" ht="18.75" customHeight="1">
      <c r="A87" s="387"/>
      <c r="B87" s="362"/>
      <c r="C87" s="131" t="s">
        <v>936</v>
      </c>
      <c r="D87" s="128">
        <v>30000000</v>
      </c>
      <c r="E87" s="119">
        <v>0</v>
      </c>
      <c r="F87" s="128">
        <v>30000000</v>
      </c>
      <c r="G87" s="197">
        <f t="shared" si="2"/>
        <v>-30000000</v>
      </c>
      <c r="H87" s="200" t="s">
        <v>936</v>
      </c>
      <c r="I87" s="122" t="s">
        <v>821</v>
      </c>
      <c r="J87" s="119">
        <v>0</v>
      </c>
      <c r="K87" s="124"/>
    </row>
    <row r="88" spans="1:11" s="125" customFormat="1" ht="18.75" customHeight="1">
      <c r="A88" s="387"/>
      <c r="B88" s="147" t="s">
        <v>811</v>
      </c>
      <c r="C88" s="147"/>
      <c r="D88" s="148">
        <f>SUM(D81:D87)</f>
        <v>517200000</v>
      </c>
      <c r="E88" s="148">
        <f>SUM(E81:E87)</f>
        <v>440950000</v>
      </c>
      <c r="F88" s="148">
        <f>SUM(F81:F87)</f>
        <v>517200000</v>
      </c>
      <c r="G88" s="149">
        <f t="shared" si="2"/>
        <v>-76250000</v>
      </c>
      <c r="H88" s="150"/>
      <c r="I88" s="151"/>
      <c r="J88" s="155"/>
      <c r="K88" s="124"/>
    </row>
    <row r="89" spans="1:11" s="125" customFormat="1" ht="18.75" customHeight="1">
      <c r="A89" s="387"/>
      <c r="B89" s="196" t="s">
        <v>937</v>
      </c>
      <c r="C89" s="127" t="s">
        <v>938</v>
      </c>
      <c r="D89" s="128">
        <v>207000000</v>
      </c>
      <c r="E89" s="119">
        <v>231000000</v>
      </c>
      <c r="F89" s="128">
        <v>207000000</v>
      </c>
      <c r="G89" s="120">
        <f t="shared" si="2"/>
        <v>24000000</v>
      </c>
      <c r="H89" s="121" t="s">
        <v>939</v>
      </c>
      <c r="I89" s="122" t="s">
        <v>821</v>
      </c>
      <c r="J89" s="133">
        <v>99000000</v>
      </c>
      <c r="K89" s="124"/>
    </row>
    <row r="90" spans="1:11" s="125" customFormat="1" ht="18.75" customHeight="1">
      <c r="A90" s="387"/>
      <c r="B90" s="169"/>
      <c r="C90" s="127"/>
      <c r="D90" s="128"/>
      <c r="E90" s="119"/>
      <c r="F90" s="128"/>
      <c r="G90" s="186"/>
      <c r="H90" s="121" t="s">
        <v>940</v>
      </c>
      <c r="I90" s="122" t="s">
        <v>821</v>
      </c>
      <c r="J90" s="133">
        <v>20000000</v>
      </c>
      <c r="K90" s="124"/>
    </row>
    <row r="91" spans="1:11" s="125" customFormat="1" ht="18.75" customHeight="1">
      <c r="A91" s="387"/>
      <c r="B91" s="169"/>
      <c r="C91" s="201"/>
      <c r="D91" s="153"/>
      <c r="E91" s="154"/>
      <c r="F91" s="153"/>
      <c r="G91" s="202"/>
      <c r="H91" s="203" t="s">
        <v>941</v>
      </c>
      <c r="I91" s="122" t="s">
        <v>821</v>
      </c>
      <c r="J91" s="204">
        <v>112000000</v>
      </c>
      <c r="K91" s="124"/>
    </row>
    <row r="92" spans="1:11" s="125" customFormat="1" ht="18.75" customHeight="1">
      <c r="A92" s="387"/>
      <c r="B92" s="169"/>
      <c r="C92" s="127" t="s">
        <v>942</v>
      </c>
      <c r="D92" s="205">
        <v>211000000</v>
      </c>
      <c r="E92" s="119">
        <v>174000000</v>
      </c>
      <c r="F92" s="205">
        <v>211000000</v>
      </c>
      <c r="G92" s="120">
        <f>E92-D92</f>
        <v>-37000000</v>
      </c>
      <c r="H92" s="121" t="s">
        <v>943</v>
      </c>
      <c r="I92" s="183" t="s">
        <v>821</v>
      </c>
      <c r="J92" s="133">
        <v>34000000</v>
      </c>
      <c r="K92" s="124"/>
    </row>
    <row r="93" spans="1:11" s="125" customFormat="1" ht="18.75" customHeight="1">
      <c r="A93" s="387"/>
      <c r="B93" s="169"/>
      <c r="C93" s="127"/>
      <c r="D93" s="132"/>
      <c r="E93" s="119"/>
      <c r="F93" s="132"/>
      <c r="G93" s="186"/>
      <c r="H93" s="121" t="s">
        <v>944</v>
      </c>
      <c r="I93" s="122" t="s">
        <v>821</v>
      </c>
      <c r="J93" s="133">
        <v>109000000</v>
      </c>
      <c r="K93" s="124"/>
    </row>
    <row r="94" spans="1:11" s="125" customFormat="1" ht="18.75" customHeight="1">
      <c r="A94" s="387"/>
      <c r="B94" s="169"/>
      <c r="C94" s="169"/>
      <c r="D94" s="132"/>
      <c r="E94" s="162"/>
      <c r="F94" s="132"/>
      <c r="G94" s="186"/>
      <c r="H94" s="121" t="s">
        <v>945</v>
      </c>
      <c r="I94" s="122" t="s">
        <v>821</v>
      </c>
      <c r="J94" s="133">
        <v>31000000</v>
      </c>
      <c r="K94" s="124"/>
    </row>
    <row r="95" spans="1:11" s="125" customFormat="1" ht="18.75" customHeight="1">
      <c r="A95" s="387"/>
      <c r="B95" s="169"/>
      <c r="C95" s="169"/>
      <c r="D95" s="128"/>
      <c r="E95" s="119">
        <v>141500000</v>
      </c>
      <c r="F95" s="128"/>
      <c r="G95" s="120">
        <f>E95-D95</f>
        <v>141500000</v>
      </c>
      <c r="H95" s="206" t="s">
        <v>946</v>
      </c>
      <c r="I95" s="207" t="s">
        <v>821</v>
      </c>
      <c r="J95" s="208">
        <v>21000000</v>
      </c>
      <c r="K95" s="124"/>
    </row>
    <row r="96" spans="1:11" s="125" customFormat="1" ht="18.75" customHeight="1">
      <c r="A96" s="387"/>
      <c r="B96" s="169"/>
      <c r="C96" s="127"/>
      <c r="D96" s="128"/>
      <c r="E96" s="119"/>
      <c r="F96" s="128"/>
      <c r="G96" s="120"/>
      <c r="H96" s="206" t="s">
        <v>947</v>
      </c>
      <c r="I96" s="207" t="s">
        <v>821</v>
      </c>
      <c r="J96" s="208">
        <v>10500000</v>
      </c>
      <c r="K96" s="124"/>
    </row>
    <row r="97" spans="1:11" s="125" customFormat="1" ht="18.75" customHeight="1">
      <c r="A97" s="387"/>
      <c r="B97" s="169"/>
      <c r="C97" s="127"/>
      <c r="D97" s="128"/>
      <c r="E97" s="119"/>
      <c r="F97" s="128"/>
      <c r="G97" s="120"/>
      <c r="H97" s="206" t="s">
        <v>948</v>
      </c>
      <c r="I97" s="207" t="s">
        <v>821</v>
      </c>
      <c r="J97" s="208">
        <v>66000000</v>
      </c>
      <c r="K97" s="124"/>
    </row>
    <row r="98" spans="1:11" s="125" customFormat="1" ht="18.75" customHeight="1">
      <c r="A98" s="387"/>
      <c r="B98" s="169"/>
      <c r="C98" s="127"/>
      <c r="D98" s="128"/>
      <c r="E98" s="119"/>
      <c r="F98" s="128"/>
      <c r="G98" s="120"/>
      <c r="H98" s="209" t="s">
        <v>949</v>
      </c>
      <c r="I98" s="207" t="s">
        <v>821</v>
      </c>
      <c r="J98" s="208">
        <v>44000000</v>
      </c>
      <c r="K98" s="124"/>
    </row>
    <row r="99" spans="1:11" s="125" customFormat="1" ht="18.75" customHeight="1">
      <c r="A99" s="387"/>
      <c r="B99" s="169"/>
      <c r="C99" s="196" t="s">
        <v>950</v>
      </c>
      <c r="D99" s="158">
        <v>0</v>
      </c>
      <c r="E99" s="181">
        <v>75000000</v>
      </c>
      <c r="F99" s="158">
        <v>0</v>
      </c>
      <c r="G99" s="210">
        <f>E99-D99</f>
        <v>75000000</v>
      </c>
      <c r="H99" s="211" t="s">
        <v>950</v>
      </c>
      <c r="I99" s="183" t="s">
        <v>821</v>
      </c>
      <c r="J99" s="212">
        <v>75000000</v>
      </c>
      <c r="K99" s="124"/>
    </row>
    <row r="100" spans="1:11" s="125" customFormat="1" ht="18.75" customHeight="1">
      <c r="A100" s="387"/>
      <c r="B100" s="165"/>
      <c r="C100" s="213" t="s">
        <v>951</v>
      </c>
      <c r="D100" s="214">
        <v>0</v>
      </c>
      <c r="E100" s="148">
        <v>57000000</v>
      </c>
      <c r="F100" s="214">
        <v>0</v>
      </c>
      <c r="G100" s="215">
        <f>E100-D100</f>
        <v>57000000</v>
      </c>
      <c r="H100" s="150" t="s">
        <v>952</v>
      </c>
      <c r="I100" s="216" t="s">
        <v>821</v>
      </c>
      <c r="J100" s="155">
        <v>57000000</v>
      </c>
      <c r="K100" s="124"/>
    </row>
    <row r="101" spans="1:11" s="125" customFormat="1" ht="18.75" customHeight="1">
      <c r="A101" s="387"/>
      <c r="B101" s="169"/>
      <c r="C101" s="127" t="s">
        <v>953</v>
      </c>
      <c r="D101" s="128">
        <v>60000000</v>
      </c>
      <c r="E101" s="119">
        <v>46230000</v>
      </c>
      <c r="F101" s="128">
        <v>60000000</v>
      </c>
      <c r="G101" s="120">
        <f>E101-D101</f>
        <v>-13770000</v>
      </c>
      <c r="H101" s="121" t="s">
        <v>954</v>
      </c>
      <c r="I101" s="122" t="s">
        <v>821</v>
      </c>
      <c r="J101" s="133">
        <v>20000000</v>
      </c>
      <c r="K101" s="124"/>
    </row>
    <row r="102" spans="1:11" s="125" customFormat="1" ht="18.75" customHeight="1">
      <c r="A102" s="387"/>
      <c r="B102" s="169"/>
      <c r="C102" s="127"/>
      <c r="D102" s="128"/>
      <c r="E102" s="119"/>
      <c r="F102" s="128"/>
      <c r="G102" s="186"/>
      <c r="H102" s="121" t="s">
        <v>955</v>
      </c>
      <c r="I102" s="122" t="s">
        <v>821</v>
      </c>
      <c r="J102" s="133">
        <v>26230000</v>
      </c>
      <c r="K102" s="124"/>
    </row>
    <row r="103" spans="1:11" s="125" customFormat="1" ht="18.75" customHeight="1">
      <c r="A103" s="387"/>
      <c r="B103" s="169"/>
      <c r="C103" s="127"/>
      <c r="D103" s="128"/>
      <c r="E103" s="119"/>
      <c r="F103" s="128"/>
      <c r="G103" s="186"/>
      <c r="H103" s="121" t="s">
        <v>956</v>
      </c>
      <c r="I103" s="122" t="s">
        <v>821</v>
      </c>
      <c r="J103" s="133">
        <v>0</v>
      </c>
      <c r="K103" s="124"/>
    </row>
    <row r="104" spans="1:11" s="125" customFormat="1" ht="18.75" customHeight="1">
      <c r="A104" s="387"/>
      <c r="B104" s="169"/>
      <c r="C104" s="196" t="s">
        <v>957</v>
      </c>
      <c r="D104" s="158">
        <v>25000000</v>
      </c>
      <c r="E104" s="181">
        <v>30000000</v>
      </c>
      <c r="F104" s="158">
        <v>25000000</v>
      </c>
      <c r="G104" s="210">
        <f>E104-D104</f>
        <v>5000000</v>
      </c>
      <c r="H104" s="182" t="s">
        <v>958</v>
      </c>
      <c r="I104" s="183" t="s">
        <v>821</v>
      </c>
      <c r="J104" s="181">
        <v>20000000</v>
      </c>
      <c r="K104" s="124"/>
    </row>
    <row r="105" spans="1:11" s="125" customFormat="1" ht="18.75" customHeight="1">
      <c r="A105" s="387"/>
      <c r="B105" s="201" t="s">
        <v>136</v>
      </c>
      <c r="C105" s="152" t="s">
        <v>136</v>
      </c>
      <c r="D105" s="153"/>
      <c r="E105" s="154" t="s">
        <v>136</v>
      </c>
      <c r="F105" s="153"/>
      <c r="G105" s="202"/>
      <c r="H105" s="203" t="s">
        <v>959</v>
      </c>
      <c r="I105" s="217" t="s">
        <v>821</v>
      </c>
      <c r="J105" s="204">
        <v>10000000</v>
      </c>
      <c r="K105" s="124"/>
    </row>
    <row r="106" spans="1:11" s="125" customFormat="1" ht="18.75" customHeight="1">
      <c r="A106" s="387"/>
      <c r="B106" s="218" t="s">
        <v>811</v>
      </c>
      <c r="C106" s="218"/>
      <c r="D106" s="154">
        <f>SUM(D89:D105)</f>
        <v>503000000</v>
      </c>
      <c r="E106" s="154">
        <f>SUM(E89:E105)</f>
        <v>754730000</v>
      </c>
      <c r="F106" s="154">
        <f>SUM(F89:F105)</f>
        <v>503000000</v>
      </c>
      <c r="G106" s="120">
        <f t="shared" ref="G106:G116" si="3">E106-D106</f>
        <v>251730000</v>
      </c>
      <c r="H106" s="121"/>
      <c r="I106" s="185"/>
      <c r="J106" s="133"/>
      <c r="K106" s="124"/>
    </row>
    <row r="107" spans="1:11" s="125" customFormat="1" ht="18.75" customHeight="1">
      <c r="A107" s="387"/>
      <c r="B107" s="196" t="s">
        <v>195</v>
      </c>
      <c r="C107" s="157" t="s">
        <v>960</v>
      </c>
      <c r="D107" s="158">
        <v>22820226</v>
      </c>
      <c r="E107" s="181">
        <v>2820226</v>
      </c>
      <c r="F107" s="158">
        <v>22820226</v>
      </c>
      <c r="G107" s="219">
        <f t="shared" si="3"/>
        <v>-20000000</v>
      </c>
      <c r="H107" s="220" t="s">
        <v>961</v>
      </c>
      <c r="I107" s="183" t="s">
        <v>821</v>
      </c>
      <c r="J107" s="181">
        <v>2820226</v>
      </c>
      <c r="K107" s="124"/>
    </row>
    <row r="108" spans="1:11" s="125" customFormat="1" ht="18.75" customHeight="1">
      <c r="A108" s="387"/>
      <c r="B108" s="201"/>
      <c r="C108" s="152" t="s">
        <v>962</v>
      </c>
      <c r="D108" s="153">
        <v>24730430</v>
      </c>
      <c r="E108" s="154">
        <v>0</v>
      </c>
      <c r="F108" s="153">
        <v>24730430</v>
      </c>
      <c r="G108" s="221">
        <f t="shared" si="3"/>
        <v>-24730430</v>
      </c>
      <c r="H108" s="222" t="s">
        <v>962</v>
      </c>
      <c r="I108" s="217" t="s">
        <v>821</v>
      </c>
      <c r="J108" s="154">
        <v>0</v>
      </c>
      <c r="K108" s="124"/>
    </row>
    <row r="109" spans="1:11" s="125" customFormat="1" ht="18.75" customHeight="1">
      <c r="A109" s="387"/>
      <c r="B109" s="163" t="s">
        <v>811</v>
      </c>
      <c r="C109" s="147"/>
      <c r="D109" s="148">
        <f>SUM(D107:D108)</f>
        <v>47550656</v>
      </c>
      <c r="E109" s="148">
        <f>SUM(E107:E108)</f>
        <v>2820226</v>
      </c>
      <c r="F109" s="148">
        <f>SUM(F107:F108)</f>
        <v>47550656</v>
      </c>
      <c r="G109" s="215">
        <f t="shared" si="3"/>
        <v>-44730430</v>
      </c>
      <c r="H109" s="150"/>
      <c r="I109" s="151"/>
      <c r="J109" s="155"/>
      <c r="K109" s="124"/>
    </row>
    <row r="110" spans="1:11" s="125" customFormat="1" ht="18.75" customHeight="1">
      <c r="A110" s="387"/>
      <c r="B110" s="127" t="s">
        <v>963</v>
      </c>
      <c r="C110" s="127" t="s">
        <v>964</v>
      </c>
      <c r="D110" s="128">
        <v>28000000</v>
      </c>
      <c r="E110" s="162">
        <v>23057700</v>
      </c>
      <c r="F110" s="128">
        <v>28000000</v>
      </c>
      <c r="G110" s="219">
        <f t="shared" si="3"/>
        <v>-4942300</v>
      </c>
      <c r="H110" s="223" t="s">
        <v>963</v>
      </c>
      <c r="I110" s="183" t="s">
        <v>821</v>
      </c>
      <c r="J110" s="119">
        <v>23057700</v>
      </c>
      <c r="K110" s="124"/>
    </row>
    <row r="111" spans="1:11" s="125" customFormat="1" ht="18.75" customHeight="1">
      <c r="A111" s="387"/>
      <c r="B111" s="127" t="s">
        <v>965</v>
      </c>
      <c r="C111" s="127" t="s">
        <v>964</v>
      </c>
      <c r="D111" s="128">
        <v>160000000</v>
      </c>
      <c r="E111" s="162">
        <v>117036993</v>
      </c>
      <c r="F111" s="128">
        <v>160000000</v>
      </c>
      <c r="G111" s="224">
        <f t="shared" si="3"/>
        <v>-42963007</v>
      </c>
      <c r="H111" s="223" t="s">
        <v>965</v>
      </c>
      <c r="I111" s="122" t="s">
        <v>821</v>
      </c>
      <c r="J111" s="119">
        <v>117036993</v>
      </c>
      <c r="K111" s="124"/>
    </row>
    <row r="112" spans="1:11" s="125" customFormat="1" ht="18.75" customHeight="1">
      <c r="A112" s="387"/>
      <c r="B112" s="127" t="s">
        <v>966</v>
      </c>
      <c r="C112" s="127" t="s">
        <v>964</v>
      </c>
      <c r="D112" s="128">
        <v>3000000</v>
      </c>
      <c r="E112" s="162">
        <v>8536525</v>
      </c>
      <c r="F112" s="128">
        <v>3000000</v>
      </c>
      <c r="G112" s="224">
        <f t="shared" si="3"/>
        <v>5536525</v>
      </c>
      <c r="H112" s="223" t="s">
        <v>966</v>
      </c>
      <c r="I112" s="122" t="s">
        <v>821</v>
      </c>
      <c r="J112" s="119">
        <v>8536525</v>
      </c>
      <c r="K112" s="124"/>
    </row>
    <row r="113" spans="1:11" s="125" customFormat="1" ht="18.75" customHeight="1">
      <c r="A113" s="387"/>
      <c r="B113" s="127" t="s">
        <v>967</v>
      </c>
      <c r="C113" s="127" t="s">
        <v>964</v>
      </c>
      <c r="D113" s="128">
        <v>0</v>
      </c>
      <c r="E113" s="162">
        <v>120000000</v>
      </c>
      <c r="F113" s="128">
        <v>0</v>
      </c>
      <c r="G113" s="221">
        <f t="shared" si="3"/>
        <v>120000000</v>
      </c>
      <c r="H113" s="223" t="s">
        <v>968</v>
      </c>
      <c r="I113" s="122" t="s">
        <v>821</v>
      </c>
      <c r="J113" s="119">
        <v>120000000</v>
      </c>
      <c r="K113" s="124"/>
    </row>
    <row r="114" spans="1:11" s="125" customFormat="1" ht="18.75" customHeight="1">
      <c r="A114" s="387"/>
      <c r="B114" s="163" t="s">
        <v>811</v>
      </c>
      <c r="C114" s="147"/>
      <c r="D114" s="148">
        <f>SUM(D110:D113)</f>
        <v>191000000</v>
      </c>
      <c r="E114" s="148">
        <f>SUM(E110:E113)</f>
        <v>268631218</v>
      </c>
      <c r="F114" s="148">
        <f>SUM(F110:F113)</f>
        <v>191000000</v>
      </c>
      <c r="G114" s="215">
        <f t="shared" si="3"/>
        <v>77631218</v>
      </c>
      <c r="H114" s="150"/>
      <c r="I114" s="151"/>
      <c r="J114" s="155"/>
      <c r="K114" s="124"/>
    </row>
    <row r="115" spans="1:11" s="230" customFormat="1" ht="18.75" customHeight="1" thickBot="1">
      <c r="A115" s="388"/>
      <c r="B115" s="134" t="s">
        <v>188</v>
      </c>
      <c r="C115" s="134"/>
      <c r="D115" s="135">
        <f>D80+D88+D106+D109+D114</f>
        <v>5158750656</v>
      </c>
      <c r="E115" s="135">
        <f>E80+E88+E106+E109+E114</f>
        <v>5367131444</v>
      </c>
      <c r="F115" s="135">
        <f>F80+F88+F106+F109+F114</f>
        <v>5158750656</v>
      </c>
      <c r="G115" s="225">
        <f t="shared" si="3"/>
        <v>208380788</v>
      </c>
      <c r="H115" s="226"/>
      <c r="I115" s="227"/>
      <c r="J115" s="228"/>
      <c r="K115" s="229"/>
    </row>
    <row r="116" spans="1:11" s="237" customFormat="1" ht="18.75" customHeight="1" thickTop="1" thickBot="1">
      <c r="A116" s="389" t="s">
        <v>969</v>
      </c>
      <c r="B116" s="390"/>
      <c r="C116" s="391"/>
      <c r="D116" s="231">
        <f>D5+D14+D55+D62+D79+D115</f>
        <v>8059714363</v>
      </c>
      <c r="E116" s="231">
        <f>E5+E14+E55+E62+E79+E115</f>
        <v>8704847272</v>
      </c>
      <c r="F116" s="231">
        <f>F5+F14+F55+F62+F79+F115</f>
        <v>8059714363</v>
      </c>
      <c r="G116" s="232">
        <f t="shared" si="3"/>
        <v>645132909</v>
      </c>
      <c r="H116" s="233"/>
      <c r="I116" s="234"/>
      <c r="J116" s="235"/>
      <c r="K116" s="236"/>
    </row>
    <row r="118" spans="1:11">
      <c r="E118" s="241"/>
    </row>
  </sheetData>
  <mergeCells count="19">
    <mergeCell ref="A56:A62"/>
    <mergeCell ref="A63:A79"/>
    <mergeCell ref="A80:A115"/>
    <mergeCell ref="A116:C116"/>
    <mergeCell ref="F3:F4"/>
    <mergeCell ref="F15:F19"/>
    <mergeCell ref="A5:C5"/>
    <mergeCell ref="A6:A14"/>
    <mergeCell ref="A15:A55"/>
    <mergeCell ref="C15:C19"/>
    <mergeCell ref="D15:D19"/>
    <mergeCell ref="G15:G19"/>
    <mergeCell ref="A1:K1"/>
    <mergeCell ref="A3:C3"/>
    <mergeCell ref="D3:D4"/>
    <mergeCell ref="E3:E4"/>
    <mergeCell ref="G3:G4"/>
    <mergeCell ref="H3:J4"/>
    <mergeCell ref="K3:K4"/>
  </mergeCells>
  <phoneticPr fontId="2" type="noConversion"/>
  <pageMargins left="0.31496062992125984" right="0.19685039370078741" top="0.43307086614173229" bottom="0.35433070866141736" header="0.31496062992125984" footer="0.15748031496062992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724"/>
  <sheetViews>
    <sheetView showGridLines="0" zoomScale="85" zoomScaleNormal="85" workbookViewId="0">
      <pane ySplit="4" topLeftCell="A65" activePane="bottomLeft" state="frozen"/>
      <selection activeCell="H2" sqref="H2"/>
      <selection pane="bottomLeft" activeCell="A50" sqref="A50:IV80"/>
    </sheetView>
  </sheetViews>
  <sheetFormatPr defaultRowHeight="16.5" customHeight="1"/>
  <cols>
    <col min="1" max="2" width="7.109375" style="3" customWidth="1"/>
    <col min="3" max="3" width="8.88671875" style="3"/>
    <col min="4" max="6" width="13.33203125" style="52" customWidth="1"/>
    <col min="7" max="7" width="13.33203125" style="55" customWidth="1"/>
    <col min="8" max="8" width="17.33203125" style="4" customWidth="1"/>
    <col min="9" max="9" width="20.21875" style="5" customWidth="1"/>
    <col min="10" max="10" width="12.88671875" style="51" customWidth="1"/>
    <col min="11" max="11" width="11.88671875" style="55" customWidth="1"/>
    <col min="12" max="12" width="11.33203125" style="1" bestFit="1" customWidth="1"/>
    <col min="13" max="13" width="12.6640625" style="2" bestFit="1" customWidth="1"/>
    <col min="14" max="16384" width="8.88671875" style="2"/>
  </cols>
  <sheetData>
    <row r="1" spans="1:13" ht="23.25" customHeight="1">
      <c r="A1" s="366" t="s">
        <v>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</row>
    <row r="2" spans="1:13" ht="16.5" customHeight="1">
      <c r="K2" s="39" t="s">
        <v>272</v>
      </c>
    </row>
    <row r="3" spans="1:13" ht="18" customHeight="1">
      <c r="A3" s="408" t="s">
        <v>1</v>
      </c>
      <c r="B3" s="409"/>
      <c r="C3" s="410"/>
      <c r="D3" s="417" t="s">
        <v>235</v>
      </c>
      <c r="E3" s="417" t="s">
        <v>762</v>
      </c>
      <c r="F3" s="417" t="s">
        <v>273</v>
      </c>
      <c r="G3" s="402" t="s">
        <v>2</v>
      </c>
      <c r="H3" s="411" t="s">
        <v>3</v>
      </c>
      <c r="I3" s="412"/>
      <c r="J3" s="413"/>
      <c r="K3" s="402" t="s">
        <v>763</v>
      </c>
    </row>
    <row r="4" spans="1:13" ht="18" customHeight="1">
      <c r="A4" s="6" t="s">
        <v>4</v>
      </c>
      <c r="B4" s="6" t="s">
        <v>5</v>
      </c>
      <c r="C4" s="6" t="s">
        <v>6</v>
      </c>
      <c r="D4" s="418"/>
      <c r="E4" s="418"/>
      <c r="F4" s="418"/>
      <c r="G4" s="403"/>
      <c r="H4" s="414"/>
      <c r="I4" s="415"/>
      <c r="J4" s="416"/>
      <c r="K4" s="403"/>
    </row>
    <row r="5" spans="1:13" ht="18" customHeight="1">
      <c r="A5" s="7" t="s">
        <v>7</v>
      </c>
      <c r="B5" s="6"/>
      <c r="C5" s="6"/>
      <c r="D5" s="66">
        <v>334938000</v>
      </c>
      <c r="E5" s="66">
        <f>E6+E72+E50</f>
        <v>557906895</v>
      </c>
      <c r="F5" s="66">
        <f>F6+F72+F50</f>
        <v>341965184</v>
      </c>
      <c r="G5" s="56">
        <f>F5-D5</f>
        <v>7027184</v>
      </c>
      <c r="H5" s="8"/>
      <c r="I5" s="9"/>
      <c r="J5" s="40"/>
      <c r="K5" s="56"/>
    </row>
    <row r="6" spans="1:13" ht="18" customHeight="1">
      <c r="A6" s="7"/>
      <c r="B6" s="7" t="s">
        <v>8</v>
      </c>
      <c r="C6" s="6"/>
      <c r="D6" s="66">
        <v>141838000</v>
      </c>
      <c r="E6" s="66">
        <f>SUM(E7:E49)</f>
        <v>335852565</v>
      </c>
      <c r="F6" s="66">
        <f>SUM(F7:F49)</f>
        <v>167488000</v>
      </c>
      <c r="G6" s="66">
        <f>SUM(G7:G49)</f>
        <v>25650000</v>
      </c>
      <c r="H6" s="72"/>
      <c r="I6" s="9"/>
      <c r="J6" s="40"/>
      <c r="K6" s="66"/>
      <c r="M6" s="36"/>
    </row>
    <row r="7" spans="1:13" ht="18" customHeight="1">
      <c r="A7" s="7"/>
      <c r="B7" s="7"/>
      <c r="C7" s="7" t="s">
        <v>9</v>
      </c>
      <c r="D7" s="25">
        <v>4920000</v>
      </c>
      <c r="E7" s="25">
        <v>3845760</v>
      </c>
      <c r="F7" s="25">
        <f>SUM(J7:J11)</f>
        <v>7344000</v>
      </c>
      <c r="G7" s="59">
        <f>F7-D7</f>
        <v>2424000</v>
      </c>
      <c r="H7" s="10" t="s">
        <v>10</v>
      </c>
      <c r="I7" s="11" t="s">
        <v>340</v>
      </c>
      <c r="J7" s="41">
        <f>150000*12</f>
        <v>1800000</v>
      </c>
      <c r="K7" s="59"/>
      <c r="M7" s="36"/>
    </row>
    <row r="8" spans="1:13" ht="18" customHeight="1">
      <c r="A8" s="7"/>
      <c r="B8" s="7"/>
      <c r="C8" s="7"/>
      <c r="D8" s="25"/>
      <c r="E8" s="25"/>
      <c r="F8" s="25"/>
      <c r="G8" s="59"/>
      <c r="H8" s="10" t="s">
        <v>11</v>
      </c>
      <c r="I8" s="11" t="s">
        <v>340</v>
      </c>
      <c r="J8" s="41">
        <f>150000*12</f>
        <v>1800000</v>
      </c>
      <c r="K8" s="59"/>
      <c r="M8" s="36"/>
    </row>
    <row r="9" spans="1:13" ht="18" customHeight="1">
      <c r="A9" s="7"/>
      <c r="B9" s="7"/>
      <c r="C9" s="7"/>
      <c r="D9" s="25"/>
      <c r="E9" s="25"/>
      <c r="F9" s="25"/>
      <c r="G9" s="59"/>
      <c r="H9" s="10" t="s">
        <v>12</v>
      </c>
      <c r="I9" s="11" t="s">
        <v>340</v>
      </c>
      <c r="J9" s="41">
        <f>150000*12</f>
        <v>1800000</v>
      </c>
      <c r="K9" s="59"/>
      <c r="M9" s="36"/>
    </row>
    <row r="10" spans="1:13" ht="18" customHeight="1">
      <c r="A10" s="7"/>
      <c r="B10" s="7"/>
      <c r="C10" s="7"/>
      <c r="D10" s="25"/>
      <c r="E10" s="25"/>
      <c r="F10" s="25"/>
      <c r="G10" s="59"/>
      <c r="H10" s="10" t="s">
        <v>426</v>
      </c>
      <c r="I10" s="11" t="s">
        <v>425</v>
      </c>
      <c r="J10" s="41">
        <f>200000*4*2</f>
        <v>1600000</v>
      </c>
      <c r="K10" s="59"/>
      <c r="M10" s="36"/>
    </row>
    <row r="11" spans="1:13" ht="18" customHeight="1">
      <c r="A11" s="7"/>
      <c r="B11" s="7"/>
      <c r="C11" s="6"/>
      <c r="D11" s="37"/>
      <c r="E11" s="37"/>
      <c r="F11" s="37"/>
      <c r="G11" s="56"/>
      <c r="H11" s="8" t="s">
        <v>428</v>
      </c>
      <c r="I11" s="9" t="s">
        <v>427</v>
      </c>
      <c r="J11" s="40">
        <f>86000*4</f>
        <v>344000</v>
      </c>
      <c r="K11" s="56"/>
      <c r="M11" s="36"/>
    </row>
    <row r="12" spans="1:13" ht="18" customHeight="1">
      <c r="A12" s="7"/>
      <c r="B12" s="7"/>
      <c r="C12" s="7" t="s">
        <v>13</v>
      </c>
      <c r="D12" s="25">
        <v>10500000</v>
      </c>
      <c r="E12" s="25">
        <v>11244851</v>
      </c>
      <c r="F12" s="25">
        <f>SUM(J12:J13)</f>
        <v>13200000</v>
      </c>
      <c r="G12" s="59">
        <f>F12-D12</f>
        <v>2700000</v>
      </c>
      <c r="H12" s="10" t="s">
        <v>14</v>
      </c>
      <c r="I12" s="11" t="s">
        <v>403</v>
      </c>
      <c r="J12" s="41">
        <f>650000*12</f>
        <v>7800000</v>
      </c>
      <c r="K12" s="59"/>
      <c r="M12" s="36"/>
    </row>
    <row r="13" spans="1:13" ht="18" customHeight="1">
      <c r="A13" s="7"/>
      <c r="B13" s="7"/>
      <c r="C13" s="6"/>
      <c r="D13" s="37"/>
      <c r="E13" s="37"/>
      <c r="F13" s="37"/>
      <c r="G13" s="56"/>
      <c r="H13" s="8" t="s">
        <v>15</v>
      </c>
      <c r="I13" s="9" t="s">
        <v>404</v>
      </c>
      <c r="J13" s="40">
        <f>450000*12</f>
        <v>5400000</v>
      </c>
      <c r="K13" s="56"/>
      <c r="M13" s="36"/>
    </row>
    <row r="14" spans="1:13" ht="18" customHeight="1">
      <c r="A14" s="7"/>
      <c r="B14" s="7"/>
      <c r="C14" s="7" t="s">
        <v>16</v>
      </c>
      <c r="D14" s="25">
        <v>1300000</v>
      </c>
      <c r="E14" s="25">
        <v>2741360</v>
      </c>
      <c r="F14" s="25">
        <f>SUM(J14:J17)</f>
        <v>5232000</v>
      </c>
      <c r="G14" s="59">
        <f>F14-D14</f>
        <v>3932000</v>
      </c>
      <c r="H14" s="10" t="s">
        <v>17</v>
      </c>
      <c r="I14" s="11"/>
      <c r="J14" s="41">
        <v>1000000</v>
      </c>
      <c r="K14" s="59"/>
      <c r="M14" s="36"/>
    </row>
    <row r="15" spans="1:13" ht="18" customHeight="1">
      <c r="A15" s="7"/>
      <c r="B15" s="7"/>
      <c r="C15" s="7"/>
      <c r="D15" s="25"/>
      <c r="E15" s="25"/>
      <c r="F15" s="25"/>
      <c r="G15" s="59"/>
      <c r="H15" s="10" t="s">
        <v>429</v>
      </c>
      <c r="I15" s="11"/>
      <c r="J15" s="41">
        <f>560000+680000</f>
        <v>1240000</v>
      </c>
      <c r="K15" s="59"/>
      <c r="M15" s="36"/>
    </row>
    <row r="16" spans="1:13" ht="18" customHeight="1">
      <c r="A16" s="7"/>
      <c r="B16" s="7"/>
      <c r="C16" s="7"/>
      <c r="D16" s="25"/>
      <c r="E16" s="25"/>
      <c r="F16" s="25"/>
      <c r="G16" s="59"/>
      <c r="H16" s="10" t="s">
        <v>448</v>
      </c>
      <c r="I16" s="11"/>
      <c r="J16" s="41">
        <f>992000+1000000</f>
        <v>1992000</v>
      </c>
      <c r="K16" s="59"/>
      <c r="M16" s="36"/>
    </row>
    <row r="17" spans="1:13" ht="18" customHeight="1">
      <c r="A17" s="7"/>
      <c r="B17" s="7"/>
      <c r="C17" s="6"/>
      <c r="D17" s="37"/>
      <c r="E17" s="37"/>
      <c r="F17" s="37"/>
      <c r="G17" s="56"/>
      <c r="H17" s="8" t="s">
        <v>18</v>
      </c>
      <c r="I17" s="9"/>
      <c r="J17" s="40">
        <v>1000000</v>
      </c>
      <c r="K17" s="56"/>
      <c r="M17" s="36"/>
    </row>
    <row r="18" spans="1:13" ht="18" customHeight="1">
      <c r="A18" s="7"/>
      <c r="B18" s="7"/>
      <c r="C18" s="7" t="s">
        <v>19</v>
      </c>
      <c r="D18" s="25">
        <v>2850000</v>
      </c>
      <c r="E18" s="25">
        <v>40673423</v>
      </c>
      <c r="F18" s="25">
        <f>SUM(J18:J25)</f>
        <v>8890000</v>
      </c>
      <c r="G18" s="59">
        <f>F18-D18</f>
        <v>6040000</v>
      </c>
      <c r="H18" s="10" t="s">
        <v>20</v>
      </c>
      <c r="I18" s="11" t="s">
        <v>351</v>
      </c>
      <c r="J18" s="41">
        <f>80000*12</f>
        <v>960000</v>
      </c>
      <c r="K18" s="59"/>
      <c r="M18" s="36"/>
    </row>
    <row r="19" spans="1:13" ht="18" customHeight="1">
      <c r="A19" s="7"/>
      <c r="B19" s="7"/>
      <c r="C19" s="7" t="s">
        <v>21</v>
      </c>
      <c r="D19" s="25"/>
      <c r="E19" s="25"/>
      <c r="F19" s="25"/>
      <c r="G19" s="59"/>
      <c r="H19" s="10" t="s">
        <v>22</v>
      </c>
      <c r="I19" s="11" t="s">
        <v>393</v>
      </c>
      <c r="J19" s="41">
        <f>3000*1350</f>
        <v>4050000</v>
      </c>
      <c r="K19" s="59"/>
      <c r="M19" s="36"/>
    </row>
    <row r="20" spans="1:13" ht="18" customHeight="1">
      <c r="A20" s="7"/>
      <c r="B20" s="7"/>
      <c r="C20" s="7"/>
      <c r="D20" s="25"/>
      <c r="E20" s="25"/>
      <c r="F20" s="25"/>
      <c r="G20" s="59"/>
      <c r="H20" s="10" t="s">
        <v>23</v>
      </c>
      <c r="I20" s="11"/>
      <c r="J20" s="41">
        <f>60000*12+200000</f>
        <v>920000</v>
      </c>
      <c r="K20" s="59"/>
      <c r="M20" s="36"/>
    </row>
    <row r="21" spans="1:13" ht="18" customHeight="1">
      <c r="A21" s="7"/>
      <c r="B21" s="7"/>
      <c r="C21" s="7"/>
      <c r="D21" s="25"/>
      <c r="E21" s="25"/>
      <c r="F21" s="25"/>
      <c r="G21" s="59"/>
      <c r="H21" s="10" t="s">
        <v>24</v>
      </c>
      <c r="I21" s="11" t="s">
        <v>392</v>
      </c>
      <c r="J21" s="41">
        <f>100000*1</f>
        <v>100000</v>
      </c>
      <c r="K21" s="59"/>
      <c r="M21" s="36"/>
    </row>
    <row r="22" spans="1:13" ht="18" customHeight="1">
      <c r="A22" s="7"/>
      <c r="B22" s="7"/>
      <c r="C22" s="7"/>
      <c r="D22" s="25"/>
      <c r="E22" s="25"/>
      <c r="F22" s="25"/>
      <c r="G22" s="59"/>
      <c r="H22" s="10" t="s">
        <v>25</v>
      </c>
      <c r="I22" s="11" t="s">
        <v>391</v>
      </c>
      <c r="J22" s="41">
        <f>200000*2</f>
        <v>400000</v>
      </c>
      <c r="K22" s="59"/>
      <c r="M22" s="36"/>
    </row>
    <row r="23" spans="1:13" ht="18" customHeight="1">
      <c r="A23" s="7"/>
      <c r="B23" s="7"/>
      <c r="C23" s="7"/>
      <c r="D23" s="25"/>
      <c r="E23" s="25"/>
      <c r="F23" s="25"/>
      <c r="G23" s="59"/>
      <c r="H23" s="10" t="s">
        <v>26</v>
      </c>
      <c r="I23" s="11" t="s">
        <v>432</v>
      </c>
      <c r="J23" s="41">
        <f>50000*12</f>
        <v>600000</v>
      </c>
      <c r="K23" s="59"/>
      <c r="M23" s="36"/>
    </row>
    <row r="24" spans="1:13" ht="18" customHeight="1">
      <c r="A24" s="7"/>
      <c r="B24" s="7"/>
      <c r="C24" s="7"/>
      <c r="D24" s="25"/>
      <c r="E24" s="25"/>
      <c r="F24" s="25"/>
      <c r="G24" s="59"/>
      <c r="H24" s="10" t="s">
        <v>446</v>
      </c>
      <c r="I24" s="11" t="s">
        <v>447</v>
      </c>
      <c r="J24" s="41">
        <f>55000*12</f>
        <v>660000</v>
      </c>
      <c r="K24" s="59"/>
      <c r="M24" s="36"/>
    </row>
    <row r="25" spans="1:13" ht="18" customHeight="1">
      <c r="A25" s="7"/>
      <c r="B25" s="7"/>
      <c r="C25" s="6"/>
      <c r="D25" s="37"/>
      <c r="E25" s="37"/>
      <c r="F25" s="37"/>
      <c r="G25" s="56"/>
      <c r="H25" s="8" t="s">
        <v>27</v>
      </c>
      <c r="I25" s="9" t="s">
        <v>445</v>
      </c>
      <c r="J25" s="40">
        <f>100000*12</f>
        <v>1200000</v>
      </c>
      <c r="K25" s="56"/>
      <c r="M25" s="36"/>
    </row>
    <row r="26" spans="1:13" ht="18" customHeight="1">
      <c r="A26" s="7"/>
      <c r="B26" s="7"/>
      <c r="C26" s="7" t="s">
        <v>28</v>
      </c>
      <c r="D26" s="25">
        <v>1668000</v>
      </c>
      <c r="E26" s="25">
        <v>2936000</v>
      </c>
      <c r="F26" s="25">
        <f>SUM(J26:J27)</f>
        <v>2800000</v>
      </c>
      <c r="G26" s="59">
        <f>F26-D26</f>
        <v>1132000</v>
      </c>
      <c r="H26" s="10" t="s">
        <v>29</v>
      </c>
      <c r="I26" s="11" t="s">
        <v>340</v>
      </c>
      <c r="J26" s="41">
        <f>150000*12</f>
        <v>1800000</v>
      </c>
      <c r="K26" s="59"/>
      <c r="M26" s="36"/>
    </row>
    <row r="27" spans="1:13" ht="18" customHeight="1">
      <c r="A27" s="7"/>
      <c r="B27" s="7"/>
      <c r="C27" s="6"/>
      <c r="D27" s="37"/>
      <c r="E27" s="37"/>
      <c r="F27" s="37"/>
      <c r="G27" s="56"/>
      <c r="H27" s="8" t="s">
        <v>30</v>
      </c>
      <c r="I27" s="9"/>
      <c r="J27" s="40">
        <v>1000000</v>
      </c>
      <c r="K27" s="56"/>
      <c r="M27" s="36"/>
    </row>
    <row r="28" spans="1:13" ht="18" customHeight="1">
      <c r="A28" s="7"/>
      <c r="B28" s="7"/>
      <c r="C28" s="6" t="s">
        <v>31</v>
      </c>
      <c r="D28" s="35">
        <v>3000000</v>
      </c>
      <c r="E28" s="35">
        <v>3453849</v>
      </c>
      <c r="F28" s="35">
        <f>SUM(J28:J28)</f>
        <v>3000000</v>
      </c>
      <c r="G28" s="35">
        <f>F28-D28</f>
        <v>0</v>
      </c>
      <c r="H28" s="13" t="s">
        <v>451</v>
      </c>
      <c r="I28" s="14" t="s">
        <v>236</v>
      </c>
      <c r="J28" s="42">
        <f>300000*10</f>
        <v>3000000</v>
      </c>
      <c r="K28" s="35"/>
      <c r="M28" s="36"/>
    </row>
    <row r="29" spans="1:13" ht="18" customHeight="1">
      <c r="A29" s="7"/>
      <c r="B29" s="7"/>
      <c r="C29" s="7" t="s">
        <v>32</v>
      </c>
      <c r="D29" s="25">
        <v>5000000</v>
      </c>
      <c r="E29" s="25">
        <v>7020000</v>
      </c>
      <c r="F29" s="25">
        <f>SUM(J29:J30)</f>
        <v>13000000</v>
      </c>
      <c r="G29" s="59">
        <f>F29-D29</f>
        <v>8000000</v>
      </c>
      <c r="H29" s="10" t="s">
        <v>33</v>
      </c>
      <c r="I29" s="11"/>
      <c r="J29" s="41">
        <v>1000000</v>
      </c>
      <c r="K29" s="59"/>
      <c r="M29" s="36"/>
    </row>
    <row r="30" spans="1:13" ht="18" customHeight="1">
      <c r="A30" s="6"/>
      <c r="B30" s="6"/>
      <c r="C30" s="6"/>
      <c r="D30" s="37"/>
      <c r="E30" s="37"/>
      <c r="F30" s="37"/>
      <c r="G30" s="56"/>
      <c r="H30" s="8" t="s">
        <v>34</v>
      </c>
      <c r="I30" s="9" t="s">
        <v>435</v>
      </c>
      <c r="J30" s="40">
        <f>1000000*12</f>
        <v>12000000</v>
      </c>
      <c r="K30" s="56"/>
      <c r="M30" s="36"/>
    </row>
    <row r="31" spans="1:13" ht="21.75" customHeight="1">
      <c r="A31" s="7" t="s">
        <v>7</v>
      </c>
      <c r="B31" s="7" t="s">
        <v>8</v>
      </c>
      <c r="C31" s="7" t="s">
        <v>35</v>
      </c>
      <c r="D31" s="25">
        <v>10000000</v>
      </c>
      <c r="E31" s="25">
        <v>27234580</v>
      </c>
      <c r="F31" s="53">
        <f>SUM(J31:J34)</f>
        <v>14200000</v>
      </c>
      <c r="G31" s="57">
        <f>F31-D31</f>
        <v>4200000</v>
      </c>
      <c r="H31" s="15" t="s">
        <v>450</v>
      </c>
      <c r="I31" s="16"/>
      <c r="J31" s="43">
        <v>5000000</v>
      </c>
      <c r="K31" s="57"/>
      <c r="M31" s="36"/>
    </row>
    <row r="32" spans="1:13" ht="21.75" customHeight="1">
      <c r="A32" s="7"/>
      <c r="B32" s="7"/>
      <c r="C32" s="7"/>
      <c r="D32" s="25"/>
      <c r="E32" s="25"/>
      <c r="F32" s="25"/>
      <c r="G32" s="59"/>
      <c r="H32" s="10" t="s">
        <v>449</v>
      </c>
      <c r="I32" s="11" t="s">
        <v>224</v>
      </c>
      <c r="J32" s="41">
        <f>500000*2</f>
        <v>1000000</v>
      </c>
      <c r="K32" s="59"/>
      <c r="M32" s="36"/>
    </row>
    <row r="33" spans="1:13" ht="21.75" customHeight="1">
      <c r="A33" s="7"/>
      <c r="B33" s="7"/>
      <c r="C33" s="7"/>
      <c r="D33" s="25"/>
      <c r="E33" s="25"/>
      <c r="F33" s="25"/>
      <c r="G33" s="59"/>
      <c r="H33" s="10" t="s">
        <v>444</v>
      </c>
      <c r="I33" s="11" t="s">
        <v>445</v>
      </c>
      <c r="J33" s="41">
        <f>100000*12</f>
        <v>1200000</v>
      </c>
      <c r="K33" s="59"/>
      <c r="M33" s="36"/>
    </row>
    <row r="34" spans="1:13" ht="21.75" customHeight="1">
      <c r="A34" s="7"/>
      <c r="B34" s="7"/>
      <c r="C34" s="6"/>
      <c r="D34" s="37"/>
      <c r="E34" s="37"/>
      <c r="F34" s="37"/>
      <c r="G34" s="56"/>
      <c r="H34" s="8" t="s">
        <v>436</v>
      </c>
      <c r="I34" s="9"/>
      <c r="J34" s="40">
        <f>4000000+3000000</f>
        <v>7000000</v>
      </c>
      <c r="K34" s="56"/>
      <c r="M34" s="36"/>
    </row>
    <row r="35" spans="1:13" ht="21.75" customHeight="1">
      <c r="A35" s="7"/>
      <c r="B35" s="7"/>
      <c r="C35" s="7" t="s">
        <v>36</v>
      </c>
      <c r="D35" s="25">
        <v>6000000</v>
      </c>
      <c r="E35" s="25">
        <v>27567959</v>
      </c>
      <c r="F35" s="25">
        <f>SUM(J35:J36)</f>
        <v>26400000</v>
      </c>
      <c r="G35" s="59">
        <f>F35-D35</f>
        <v>20400000</v>
      </c>
      <c r="H35" s="10" t="s">
        <v>352</v>
      </c>
      <c r="I35" s="67" t="s">
        <v>572</v>
      </c>
      <c r="J35" s="41">
        <f>2000000*12</f>
        <v>24000000</v>
      </c>
      <c r="K35" s="59"/>
      <c r="M35" s="36"/>
    </row>
    <row r="36" spans="1:13" ht="21.75" customHeight="1">
      <c r="A36" s="7"/>
      <c r="B36" s="7"/>
      <c r="C36" s="6"/>
      <c r="D36" s="37"/>
      <c r="E36" s="37"/>
      <c r="F36" s="37"/>
      <c r="G36" s="56"/>
      <c r="H36" s="8" t="s">
        <v>394</v>
      </c>
      <c r="I36" s="68" t="s">
        <v>434</v>
      </c>
      <c r="J36" s="40">
        <f>200000*12</f>
        <v>2400000</v>
      </c>
      <c r="K36" s="56"/>
      <c r="M36" s="36"/>
    </row>
    <row r="37" spans="1:13" ht="21.75" customHeight="1">
      <c r="A37" s="7"/>
      <c r="B37" s="7"/>
      <c r="C37" s="7" t="s">
        <v>37</v>
      </c>
      <c r="D37" s="25">
        <v>31000000</v>
      </c>
      <c r="E37" s="25">
        <v>37719320</v>
      </c>
      <c r="F37" s="25">
        <f>SUM(J37:J37)</f>
        <v>12000000</v>
      </c>
      <c r="G37" s="57">
        <f>F37-D37</f>
        <v>-19000000</v>
      </c>
      <c r="H37" s="15" t="s">
        <v>38</v>
      </c>
      <c r="I37" s="16" t="s">
        <v>668</v>
      </c>
      <c r="J37" s="43">
        <f>1000000*12</f>
        <v>12000000</v>
      </c>
      <c r="K37" s="57"/>
      <c r="M37" s="36"/>
    </row>
    <row r="38" spans="1:13" ht="21.75" customHeight="1">
      <c r="A38" s="7"/>
      <c r="B38" s="7"/>
      <c r="C38" s="18" t="s">
        <v>39</v>
      </c>
      <c r="D38" s="53">
        <v>5000000</v>
      </c>
      <c r="E38" s="53">
        <v>4093000</v>
      </c>
      <c r="F38" s="53">
        <f>SUM(J38:J39)</f>
        <v>5000000</v>
      </c>
      <c r="G38" s="53">
        <f>F38-D38</f>
        <v>0</v>
      </c>
      <c r="H38" s="15" t="s">
        <v>40</v>
      </c>
      <c r="I38" s="16" t="s">
        <v>395</v>
      </c>
      <c r="J38" s="43">
        <f>500000*5</f>
        <v>2500000</v>
      </c>
      <c r="K38" s="57"/>
      <c r="M38" s="36"/>
    </row>
    <row r="39" spans="1:13" ht="21.75" customHeight="1">
      <c r="A39" s="7"/>
      <c r="B39" s="7"/>
      <c r="C39" s="6"/>
      <c r="D39" s="37"/>
      <c r="E39" s="37"/>
      <c r="F39" s="69"/>
      <c r="G39" s="56"/>
      <c r="H39" s="8" t="s">
        <v>41</v>
      </c>
      <c r="I39" s="9"/>
      <c r="J39" s="40">
        <v>2500000</v>
      </c>
      <c r="K39" s="56"/>
      <c r="M39" s="36"/>
    </row>
    <row r="40" spans="1:13" ht="21.75" customHeight="1">
      <c r="A40" s="70"/>
      <c r="B40" s="7"/>
      <c r="C40" s="12" t="s">
        <v>42</v>
      </c>
      <c r="D40" s="35">
        <v>2000000</v>
      </c>
      <c r="E40" s="35">
        <v>2805700</v>
      </c>
      <c r="F40" s="35">
        <f>SUM(J40)</f>
        <v>3000000</v>
      </c>
      <c r="G40" s="58">
        <f>F40-D40</f>
        <v>1000000</v>
      </c>
      <c r="H40" s="13" t="s">
        <v>43</v>
      </c>
      <c r="I40" s="14"/>
      <c r="J40" s="42">
        <v>3000000</v>
      </c>
      <c r="K40" s="58"/>
      <c r="M40" s="36"/>
    </row>
    <row r="41" spans="1:13" ht="21.75" customHeight="1">
      <c r="A41" s="7"/>
      <c r="B41" s="7"/>
      <c r="C41" s="6" t="s">
        <v>44</v>
      </c>
      <c r="D41" s="37">
        <v>0</v>
      </c>
      <c r="E41" s="37">
        <v>60737720</v>
      </c>
      <c r="F41" s="37">
        <f>SUM(J41)</f>
        <v>0</v>
      </c>
      <c r="G41" s="37">
        <f>F41-D41</f>
        <v>0</v>
      </c>
      <c r="H41" s="8"/>
      <c r="I41" s="9"/>
      <c r="J41" s="40"/>
      <c r="K41" s="37"/>
      <c r="M41" s="36"/>
    </row>
    <row r="42" spans="1:13" ht="21.75" customHeight="1">
      <c r="A42" s="7"/>
      <c r="B42" s="7"/>
      <c r="C42" s="6" t="s">
        <v>45</v>
      </c>
      <c r="D42" s="37">
        <v>20000000</v>
      </c>
      <c r="E42" s="37">
        <v>13817689</v>
      </c>
      <c r="F42" s="37">
        <f>J42</f>
        <v>0</v>
      </c>
      <c r="G42" s="56">
        <f>F42-D42</f>
        <v>-20000000</v>
      </c>
      <c r="H42" s="8"/>
      <c r="I42" s="9"/>
      <c r="J42" s="40"/>
      <c r="K42" s="56"/>
      <c r="M42" s="36"/>
    </row>
    <row r="43" spans="1:13" ht="21.75" customHeight="1">
      <c r="A43" s="7"/>
      <c r="B43" s="7"/>
      <c r="C43" s="7" t="s">
        <v>46</v>
      </c>
      <c r="D43" s="25">
        <v>38600000</v>
      </c>
      <c r="E43" s="25">
        <v>87332354</v>
      </c>
      <c r="F43" s="25">
        <f>SUM(J43:J46)</f>
        <v>40000000</v>
      </c>
      <c r="G43" s="59">
        <f>F43-D43</f>
        <v>1400000</v>
      </c>
      <c r="H43" s="10" t="s">
        <v>47</v>
      </c>
      <c r="I43" s="11"/>
      <c r="J43" s="41">
        <v>10000000</v>
      </c>
      <c r="K43" s="59"/>
      <c r="M43" s="36"/>
    </row>
    <row r="44" spans="1:13" ht="21.75" customHeight="1">
      <c r="A44" s="7"/>
      <c r="B44" s="7"/>
      <c r="C44" s="7"/>
      <c r="D44" s="25"/>
      <c r="E44" s="25"/>
      <c r="F44" s="25"/>
      <c r="G44" s="59"/>
      <c r="H44" s="10" t="s">
        <v>48</v>
      </c>
      <c r="I44" s="11"/>
      <c r="J44" s="41">
        <v>5000000</v>
      </c>
      <c r="K44" s="59"/>
      <c r="M44" s="36"/>
    </row>
    <row r="45" spans="1:13" ht="21.75" customHeight="1">
      <c r="A45" s="7"/>
      <c r="B45" s="7"/>
      <c r="C45" s="7"/>
      <c r="D45" s="25"/>
      <c r="E45" s="25"/>
      <c r="F45" s="25"/>
      <c r="G45" s="59"/>
      <c r="H45" s="10" t="s">
        <v>49</v>
      </c>
      <c r="I45" s="11"/>
      <c r="J45" s="41">
        <v>5000000</v>
      </c>
      <c r="K45" s="59"/>
      <c r="M45" s="36"/>
    </row>
    <row r="46" spans="1:13" ht="21.75" customHeight="1">
      <c r="A46" s="7"/>
      <c r="B46" s="7"/>
      <c r="C46" s="6"/>
      <c r="D46" s="37"/>
      <c r="E46" s="37"/>
      <c r="F46" s="37"/>
      <c r="G46" s="56"/>
      <c r="H46" s="8" t="s">
        <v>50</v>
      </c>
      <c r="I46" s="9"/>
      <c r="J46" s="40">
        <v>20000000</v>
      </c>
      <c r="K46" s="56"/>
      <c r="M46" s="36"/>
    </row>
    <row r="47" spans="1:13" ht="21.75" customHeight="1">
      <c r="A47" s="7"/>
      <c r="B47" s="7"/>
      <c r="C47" s="12" t="s">
        <v>764</v>
      </c>
      <c r="D47" s="35">
        <v>0</v>
      </c>
      <c r="E47" s="35">
        <v>792000</v>
      </c>
      <c r="F47" s="35">
        <v>0</v>
      </c>
      <c r="G47" s="35">
        <f>F47-D47</f>
        <v>0</v>
      </c>
      <c r="H47" s="13"/>
      <c r="I47" s="14"/>
      <c r="J47" s="42"/>
      <c r="K47" s="58"/>
      <c r="M47" s="36"/>
    </row>
    <row r="48" spans="1:13" ht="21.75" customHeight="1">
      <c r="A48" s="7"/>
      <c r="B48" s="7"/>
      <c r="C48" s="7" t="s">
        <v>192</v>
      </c>
      <c r="D48" s="25">
        <v>0</v>
      </c>
      <c r="E48" s="25">
        <v>1837000</v>
      </c>
      <c r="F48" s="25">
        <f>SUM(J48:J49)</f>
        <v>13422000</v>
      </c>
      <c r="G48" s="59">
        <f>F48-D48</f>
        <v>13422000</v>
      </c>
      <c r="H48" s="10" t="s">
        <v>430</v>
      </c>
      <c r="I48" s="11" t="s">
        <v>431</v>
      </c>
      <c r="J48" s="41">
        <f>918500*12</f>
        <v>11022000</v>
      </c>
      <c r="K48" s="59"/>
      <c r="M48" s="36"/>
    </row>
    <row r="49" spans="1:13" ht="21.75" customHeight="1">
      <c r="A49" s="6"/>
      <c r="B49" s="6"/>
      <c r="C49" s="6"/>
      <c r="D49" s="37"/>
      <c r="E49" s="37"/>
      <c r="F49" s="37"/>
      <c r="G49" s="56"/>
      <c r="H49" s="8" t="s">
        <v>433</v>
      </c>
      <c r="I49" s="9" t="s">
        <v>434</v>
      </c>
      <c r="J49" s="40">
        <f>200000*12</f>
        <v>2400000</v>
      </c>
      <c r="K49" s="56"/>
      <c r="M49" s="36"/>
    </row>
    <row r="50" spans="1:13" ht="16.5" customHeight="1">
      <c r="A50" s="7" t="s">
        <v>7</v>
      </c>
      <c r="B50" s="7" t="s">
        <v>714</v>
      </c>
      <c r="C50" s="6"/>
      <c r="D50" s="66">
        <f>SUM(D51:D69)</f>
        <v>163200000</v>
      </c>
      <c r="E50" s="66">
        <f>SUM(E51:E71)</f>
        <v>179258700</v>
      </c>
      <c r="F50" s="66">
        <f>SUM(F51:F69)</f>
        <v>146102016</v>
      </c>
      <c r="G50" s="98">
        <f>SUM(G51:G69)</f>
        <v>-17097984</v>
      </c>
      <c r="H50" s="76"/>
      <c r="I50" s="14"/>
      <c r="J50" s="86"/>
      <c r="K50" s="96"/>
      <c r="L50" s="2"/>
    </row>
    <row r="51" spans="1:13" ht="16.5" customHeight="1">
      <c r="A51" s="7"/>
      <c r="B51" s="7"/>
      <c r="C51" s="7" t="s">
        <v>715</v>
      </c>
      <c r="D51" s="87">
        <v>55538220</v>
      </c>
      <c r="E51" s="87">
        <v>55538220</v>
      </c>
      <c r="F51" s="87">
        <f>SUM(J51:J54)</f>
        <v>51714168</v>
      </c>
      <c r="G51" s="59">
        <f>F51-D51</f>
        <v>-3824052</v>
      </c>
      <c r="H51" s="10" t="s">
        <v>716</v>
      </c>
      <c r="I51" s="11" t="s">
        <v>745</v>
      </c>
      <c r="J51" s="88">
        <f>1417677*12</f>
        <v>17012124</v>
      </c>
      <c r="K51" s="59"/>
      <c r="L51" s="2"/>
    </row>
    <row r="52" spans="1:13" ht="16.5" customHeight="1">
      <c r="A52" s="7"/>
      <c r="B52" s="7"/>
      <c r="C52" s="7"/>
      <c r="D52" s="87"/>
      <c r="E52" s="87"/>
      <c r="F52" s="87"/>
      <c r="G52" s="59"/>
      <c r="H52" s="10" t="s">
        <v>717</v>
      </c>
      <c r="I52" s="11" t="s">
        <v>743</v>
      </c>
      <c r="J52" s="88">
        <f>1191467*12</f>
        <v>14297604</v>
      </c>
      <c r="K52" s="59"/>
      <c r="L52" s="2"/>
    </row>
    <row r="53" spans="1:13" ht="16.5" customHeight="1">
      <c r="A53" s="7"/>
      <c r="B53" s="7"/>
      <c r="C53" s="7"/>
      <c r="D53" s="87"/>
      <c r="E53" s="87"/>
      <c r="F53" s="87"/>
      <c r="G53" s="59"/>
      <c r="H53" s="10" t="s">
        <v>718</v>
      </c>
      <c r="I53" s="11" t="s">
        <v>746</v>
      </c>
      <c r="J53" s="88">
        <f>885041*12</f>
        <v>10620492</v>
      </c>
      <c r="K53" s="59"/>
      <c r="L53" s="2"/>
    </row>
    <row r="54" spans="1:13" ht="16.5" customHeight="1">
      <c r="A54" s="6"/>
      <c r="B54" s="6"/>
      <c r="C54" s="6"/>
      <c r="D54" s="89"/>
      <c r="E54" s="89"/>
      <c r="F54" s="89"/>
      <c r="G54" s="56"/>
      <c r="H54" s="8" t="s">
        <v>719</v>
      </c>
      <c r="I54" s="9" t="s">
        <v>747</v>
      </c>
      <c r="J54" s="90">
        <f>815329*12</f>
        <v>9783948</v>
      </c>
      <c r="K54" s="56"/>
      <c r="L54" s="2"/>
    </row>
    <row r="55" spans="1:13" ht="19.5" customHeight="1">
      <c r="A55" s="7" t="s">
        <v>7</v>
      </c>
      <c r="B55" s="7" t="s">
        <v>714</v>
      </c>
      <c r="C55" s="7" t="s">
        <v>720</v>
      </c>
      <c r="D55" s="87">
        <v>26400000</v>
      </c>
      <c r="E55" s="87">
        <v>26400000</v>
      </c>
      <c r="F55" s="87">
        <f>SUM(J55:J58)</f>
        <v>23634492</v>
      </c>
      <c r="G55" s="59">
        <f>F55-D55</f>
        <v>-2765508</v>
      </c>
      <c r="H55" s="10" t="s">
        <v>716</v>
      </c>
      <c r="I55" s="11" t="s">
        <v>744</v>
      </c>
      <c r="J55" s="88">
        <f>611159*12</f>
        <v>7333908</v>
      </c>
      <c r="K55" s="59"/>
      <c r="L55" s="2"/>
    </row>
    <row r="56" spans="1:13" ht="19.5" customHeight="1">
      <c r="A56" s="7"/>
      <c r="B56" s="7"/>
      <c r="C56" s="7"/>
      <c r="D56" s="87"/>
      <c r="E56" s="87"/>
      <c r="F56" s="87"/>
      <c r="G56" s="59"/>
      <c r="H56" s="10" t="s">
        <v>717</v>
      </c>
      <c r="I56" s="11" t="s">
        <v>748</v>
      </c>
      <c r="J56" s="88">
        <f>515331*12</f>
        <v>6183972</v>
      </c>
      <c r="K56" s="59"/>
      <c r="L56" s="2"/>
    </row>
    <row r="57" spans="1:13" ht="19.5" customHeight="1">
      <c r="A57" s="7"/>
      <c r="B57" s="7"/>
      <c r="C57" s="7"/>
      <c r="D57" s="87"/>
      <c r="E57" s="87"/>
      <c r="F57" s="87"/>
      <c r="G57" s="59"/>
      <c r="H57" s="10" t="s">
        <v>718</v>
      </c>
      <c r="I57" s="11" t="s">
        <v>749</v>
      </c>
      <c r="J57" s="88">
        <f>446012*12</f>
        <v>5352144</v>
      </c>
      <c r="K57" s="59"/>
      <c r="L57" s="2"/>
    </row>
    <row r="58" spans="1:13" ht="19.5" customHeight="1">
      <c r="A58" s="7"/>
      <c r="B58" s="7"/>
      <c r="C58" s="6"/>
      <c r="D58" s="89"/>
      <c r="E58" s="89"/>
      <c r="F58" s="89"/>
      <c r="G58" s="56"/>
      <c r="H58" s="8" t="s">
        <v>719</v>
      </c>
      <c r="I58" s="9" t="s">
        <v>750</v>
      </c>
      <c r="J58" s="90">
        <f>397039*12</f>
        <v>4764468</v>
      </c>
      <c r="K58" s="56"/>
      <c r="L58" s="2"/>
    </row>
    <row r="59" spans="1:13" ht="19.5" customHeight="1">
      <c r="A59" s="7"/>
      <c r="B59" s="7"/>
      <c r="C59" s="7" t="s">
        <v>721</v>
      </c>
      <c r="D59" s="87">
        <v>48600000</v>
      </c>
      <c r="E59" s="87">
        <v>48600000</v>
      </c>
      <c r="F59" s="87">
        <f>SUM(J59:J62)</f>
        <v>38289588</v>
      </c>
      <c r="G59" s="59">
        <f>F59-D59</f>
        <v>-10310412</v>
      </c>
      <c r="H59" s="10" t="s">
        <v>716</v>
      </c>
      <c r="I59" s="11" t="s">
        <v>751</v>
      </c>
      <c r="J59" s="88">
        <f>1466781*12</f>
        <v>17601372</v>
      </c>
      <c r="K59" s="59"/>
      <c r="L59" s="2"/>
    </row>
    <row r="60" spans="1:13" ht="19.5" customHeight="1">
      <c r="A60" s="7"/>
      <c r="B60" s="7"/>
      <c r="C60" s="7"/>
      <c r="D60" s="87"/>
      <c r="E60" s="87"/>
      <c r="F60" s="87"/>
      <c r="G60" s="59"/>
      <c r="H60" s="10" t="s">
        <v>717</v>
      </c>
      <c r="I60" s="11" t="s">
        <v>752</v>
      </c>
      <c r="J60" s="88">
        <f>1104280*12</f>
        <v>13251360</v>
      </c>
      <c r="K60" s="59"/>
      <c r="L60" s="2"/>
    </row>
    <row r="61" spans="1:13" ht="19.5" customHeight="1">
      <c r="A61" s="70"/>
      <c r="B61" s="7"/>
      <c r="C61" s="7"/>
      <c r="D61" s="87"/>
      <c r="E61" s="87"/>
      <c r="F61" s="87"/>
      <c r="G61" s="59"/>
      <c r="H61" s="10" t="s">
        <v>718</v>
      </c>
      <c r="I61" s="11" t="s">
        <v>753</v>
      </c>
      <c r="J61" s="88">
        <f>433626*12</f>
        <v>5203512</v>
      </c>
      <c r="K61" s="59"/>
      <c r="L61" s="2"/>
    </row>
    <row r="62" spans="1:13" ht="19.5" customHeight="1">
      <c r="A62" s="7"/>
      <c r="B62" s="7"/>
      <c r="C62" s="6"/>
      <c r="D62" s="89"/>
      <c r="E62" s="89"/>
      <c r="F62" s="89"/>
      <c r="G62" s="56"/>
      <c r="H62" s="8" t="s">
        <v>719</v>
      </c>
      <c r="I62" s="9" t="s">
        <v>754</v>
      </c>
      <c r="J62" s="90">
        <f>186112*12</f>
        <v>2233344</v>
      </c>
      <c r="K62" s="56"/>
      <c r="L62" s="2"/>
    </row>
    <row r="63" spans="1:13" ht="19.5" customHeight="1">
      <c r="A63" s="7"/>
      <c r="B63" s="7"/>
      <c r="C63" s="7" t="s">
        <v>722</v>
      </c>
      <c r="D63" s="87">
        <v>15861780</v>
      </c>
      <c r="E63" s="87">
        <v>15861780</v>
      </c>
      <c r="F63" s="87">
        <f>SUM(J63:J66)</f>
        <v>13983768</v>
      </c>
      <c r="G63" s="59">
        <f>F63-D63</f>
        <v>-1878012</v>
      </c>
      <c r="H63" s="10" t="s">
        <v>716</v>
      </c>
      <c r="I63" s="11" t="s">
        <v>755</v>
      </c>
      <c r="J63" s="88">
        <f>415799*12</f>
        <v>4989588</v>
      </c>
      <c r="K63" s="59"/>
      <c r="L63" s="2"/>
    </row>
    <row r="64" spans="1:13" ht="19.5" customHeight="1">
      <c r="A64" s="7"/>
      <c r="B64" s="7"/>
      <c r="C64" s="7"/>
      <c r="D64" s="87"/>
      <c r="E64" s="87"/>
      <c r="F64" s="87"/>
      <c r="G64" s="59"/>
      <c r="H64" s="10" t="s">
        <v>717</v>
      </c>
      <c r="I64" s="11" t="s">
        <v>758</v>
      </c>
      <c r="J64" s="88">
        <f>342256*12</f>
        <v>4107072</v>
      </c>
      <c r="K64" s="59"/>
      <c r="L64" s="2"/>
    </row>
    <row r="65" spans="1:12" ht="19.5" customHeight="1">
      <c r="A65" s="7"/>
      <c r="B65" s="7"/>
      <c r="C65" s="7"/>
      <c r="D65" s="87"/>
      <c r="E65" s="87"/>
      <c r="F65" s="87"/>
      <c r="G65" s="59"/>
      <c r="H65" s="10" t="s">
        <v>718</v>
      </c>
      <c r="I65" s="11" t="s">
        <v>756</v>
      </c>
      <c r="J65" s="88">
        <f>229990*12</f>
        <v>2759880</v>
      </c>
      <c r="K65" s="59"/>
      <c r="L65" s="2"/>
    </row>
    <row r="66" spans="1:12" ht="19.5" customHeight="1">
      <c r="A66" s="7"/>
      <c r="B66" s="7"/>
      <c r="C66" s="6"/>
      <c r="D66" s="89"/>
      <c r="E66" s="89"/>
      <c r="F66" s="89"/>
      <c r="G66" s="56"/>
      <c r="H66" s="8" t="s">
        <v>719</v>
      </c>
      <c r="I66" s="9" t="s">
        <v>757</v>
      </c>
      <c r="J66" s="90">
        <f>177269*12</f>
        <v>2127228</v>
      </c>
      <c r="K66" s="56"/>
      <c r="L66" s="2"/>
    </row>
    <row r="67" spans="1:12" ht="19.5" customHeight="1">
      <c r="A67" s="7"/>
      <c r="B67" s="7"/>
      <c r="C67" s="12" t="s">
        <v>723</v>
      </c>
      <c r="D67" s="91">
        <v>6000000</v>
      </c>
      <c r="E67" s="91">
        <v>6000000</v>
      </c>
      <c r="F67" s="91">
        <f>SUM(J67)</f>
        <v>6600000</v>
      </c>
      <c r="G67" s="35">
        <f>F67-D67</f>
        <v>600000</v>
      </c>
      <c r="H67" s="13" t="s">
        <v>724</v>
      </c>
      <c r="I67" s="14" t="s">
        <v>742</v>
      </c>
      <c r="J67" s="92">
        <f>110000*5*12</f>
        <v>6600000</v>
      </c>
      <c r="K67" s="35"/>
      <c r="L67" s="2"/>
    </row>
    <row r="68" spans="1:12" ht="19.5" customHeight="1">
      <c r="A68" s="7"/>
      <c r="B68" s="7"/>
      <c r="C68" s="6" t="s">
        <v>725</v>
      </c>
      <c r="D68" s="89">
        <v>1200000</v>
      </c>
      <c r="E68" s="89">
        <v>1200000</v>
      </c>
      <c r="F68" s="91">
        <f>SUM(J68)</f>
        <v>1320000</v>
      </c>
      <c r="G68" s="35">
        <f>F68-D68</f>
        <v>120000</v>
      </c>
      <c r="H68" s="8" t="s">
        <v>726</v>
      </c>
      <c r="I68" s="9" t="s">
        <v>741</v>
      </c>
      <c r="J68" s="92">
        <f>110000*1*12</f>
        <v>1320000</v>
      </c>
      <c r="K68" s="35"/>
      <c r="L68" s="2"/>
    </row>
    <row r="69" spans="1:12" ht="19.5" customHeight="1">
      <c r="A69" s="7"/>
      <c r="B69" s="7"/>
      <c r="C69" s="6" t="s">
        <v>727</v>
      </c>
      <c r="D69" s="89">
        <v>9600000</v>
      </c>
      <c r="E69" s="89">
        <v>9600000</v>
      </c>
      <c r="F69" s="91">
        <f>SUM(J69)</f>
        <v>10560000</v>
      </c>
      <c r="G69" s="35">
        <f>F69-D69</f>
        <v>960000</v>
      </c>
      <c r="H69" s="8" t="s">
        <v>728</v>
      </c>
      <c r="I69" s="9" t="s">
        <v>740</v>
      </c>
      <c r="J69" s="92">
        <f>220000*4*12</f>
        <v>10560000</v>
      </c>
      <c r="K69" s="35"/>
      <c r="L69" s="2"/>
    </row>
    <row r="70" spans="1:12" ht="19.5" customHeight="1">
      <c r="A70" s="7"/>
      <c r="B70" s="7"/>
      <c r="C70" s="6" t="s">
        <v>765</v>
      </c>
      <c r="D70" s="89">
        <v>0</v>
      </c>
      <c r="E70" s="89">
        <v>13458700</v>
      </c>
      <c r="F70" s="89">
        <v>0</v>
      </c>
      <c r="G70" s="37">
        <f>F70-D70</f>
        <v>0</v>
      </c>
      <c r="H70" s="8"/>
      <c r="I70" s="9"/>
      <c r="J70" s="90"/>
      <c r="K70" s="37"/>
      <c r="L70" s="2"/>
    </row>
    <row r="71" spans="1:12" ht="19.5" customHeight="1">
      <c r="A71" s="7"/>
      <c r="B71" s="6"/>
      <c r="C71" s="6" t="s">
        <v>766</v>
      </c>
      <c r="D71" s="89">
        <v>0</v>
      </c>
      <c r="E71" s="89">
        <v>2600000</v>
      </c>
      <c r="F71" s="89">
        <v>0</v>
      </c>
      <c r="G71" s="37">
        <f>F71-D71</f>
        <v>0</v>
      </c>
      <c r="H71" s="8"/>
      <c r="I71" s="9"/>
      <c r="J71" s="90"/>
      <c r="K71" s="37"/>
      <c r="L71" s="2"/>
    </row>
    <row r="72" spans="1:12" ht="19.5" customHeight="1">
      <c r="A72" s="7"/>
      <c r="B72" s="7" t="s">
        <v>729</v>
      </c>
      <c r="C72" s="6"/>
      <c r="D72" s="89">
        <f>SUM(D73:D77)</f>
        <v>29900000</v>
      </c>
      <c r="E72" s="89">
        <f>SUM(E73:E80)</f>
        <v>42795630</v>
      </c>
      <c r="F72" s="89">
        <f>SUM(F73:F78)</f>
        <v>28375168</v>
      </c>
      <c r="G72" s="94">
        <f>SUM(G73:G77)</f>
        <v>-3524832</v>
      </c>
      <c r="H72" s="8"/>
      <c r="I72" s="9"/>
      <c r="J72" s="95"/>
      <c r="K72" s="94"/>
      <c r="L72" s="2"/>
    </row>
    <row r="73" spans="1:12" ht="19.5" customHeight="1">
      <c r="A73" s="7"/>
      <c r="B73" s="7"/>
      <c r="C73" s="6" t="s">
        <v>730</v>
      </c>
      <c r="D73" s="91">
        <v>8400000</v>
      </c>
      <c r="E73" s="91">
        <v>5489280</v>
      </c>
      <c r="F73" s="91">
        <f>SUM(J73)</f>
        <v>6600000</v>
      </c>
      <c r="G73" s="93">
        <f t="shared" ref="G73:G80" si="0">F73-D73</f>
        <v>-1800000</v>
      </c>
      <c r="H73" s="13" t="s">
        <v>731</v>
      </c>
      <c r="I73" s="14"/>
      <c r="J73" s="92">
        <v>6600000</v>
      </c>
      <c r="K73" s="93"/>
      <c r="L73" s="2"/>
    </row>
    <row r="74" spans="1:12" ht="19.5" customHeight="1">
      <c r="A74" s="7"/>
      <c r="B74" s="7"/>
      <c r="C74" s="6" t="s">
        <v>732</v>
      </c>
      <c r="D74" s="89">
        <v>4800000</v>
      </c>
      <c r="E74" s="89">
        <v>3955830</v>
      </c>
      <c r="F74" s="89">
        <f>SUM(J74)</f>
        <v>3900000</v>
      </c>
      <c r="G74" s="94">
        <f t="shared" si="0"/>
        <v>-900000</v>
      </c>
      <c r="H74" s="8" t="s">
        <v>733</v>
      </c>
      <c r="I74" s="9"/>
      <c r="J74" s="95">
        <v>3900000</v>
      </c>
      <c r="K74" s="94"/>
      <c r="L74" s="2"/>
    </row>
    <row r="75" spans="1:12" ht="19.5" customHeight="1">
      <c r="A75" s="7"/>
      <c r="B75" s="7"/>
      <c r="C75" s="6" t="s">
        <v>734</v>
      </c>
      <c r="D75" s="89">
        <v>3000000</v>
      </c>
      <c r="E75" s="89">
        <v>2820520</v>
      </c>
      <c r="F75" s="89">
        <f>SUM(J75)</f>
        <v>3500000</v>
      </c>
      <c r="G75" s="94">
        <f t="shared" si="0"/>
        <v>500000</v>
      </c>
      <c r="H75" s="8" t="s">
        <v>735</v>
      </c>
      <c r="I75" s="9"/>
      <c r="J75" s="95">
        <v>3500000</v>
      </c>
      <c r="K75" s="94"/>
      <c r="L75" s="2"/>
    </row>
    <row r="76" spans="1:12" ht="19.5" customHeight="1">
      <c r="A76" s="7"/>
      <c r="B76" s="7"/>
      <c r="C76" s="12" t="s">
        <v>736</v>
      </c>
      <c r="D76" s="91">
        <v>13600000</v>
      </c>
      <c r="E76" s="91">
        <v>13600000</v>
      </c>
      <c r="F76" s="91">
        <f>J76</f>
        <v>12175168</v>
      </c>
      <c r="G76" s="94">
        <f t="shared" si="0"/>
        <v>-1424832</v>
      </c>
      <c r="H76" s="13" t="s">
        <v>737</v>
      </c>
      <c r="I76" s="14"/>
      <c r="J76" s="86">
        <f>F50/12</f>
        <v>12175168</v>
      </c>
      <c r="K76" s="94"/>
      <c r="L76" s="2"/>
    </row>
    <row r="77" spans="1:12" ht="19.5" customHeight="1">
      <c r="A77" s="7"/>
      <c r="B77" s="7"/>
      <c r="C77" s="6" t="s">
        <v>738</v>
      </c>
      <c r="D77" s="89">
        <v>100000</v>
      </c>
      <c r="E77" s="89">
        <v>0</v>
      </c>
      <c r="F77" s="89">
        <f>SUM(J77)</f>
        <v>200000</v>
      </c>
      <c r="G77" s="94">
        <f t="shared" si="0"/>
        <v>100000</v>
      </c>
      <c r="H77" s="8" t="s">
        <v>739</v>
      </c>
      <c r="I77" s="9"/>
      <c r="J77" s="42">
        <v>200000</v>
      </c>
      <c r="K77" s="94"/>
      <c r="L77" s="2"/>
    </row>
    <row r="78" spans="1:12" ht="19.5" customHeight="1">
      <c r="A78" s="7"/>
      <c r="B78" s="7"/>
      <c r="C78" s="12" t="s">
        <v>759</v>
      </c>
      <c r="D78" s="91">
        <v>0</v>
      </c>
      <c r="E78" s="91">
        <v>0</v>
      </c>
      <c r="F78" s="91">
        <f>SUM(J78)</f>
        <v>2000000</v>
      </c>
      <c r="G78" s="93">
        <f t="shared" si="0"/>
        <v>2000000</v>
      </c>
      <c r="H78" s="13" t="s">
        <v>760</v>
      </c>
      <c r="I78" s="14" t="s">
        <v>761</v>
      </c>
      <c r="J78" s="42">
        <f>500000*4</f>
        <v>2000000</v>
      </c>
      <c r="K78" s="93"/>
      <c r="L78" s="2"/>
    </row>
    <row r="79" spans="1:12" ht="19.5" customHeight="1">
      <c r="A79" s="7"/>
      <c r="B79" s="7"/>
      <c r="C79" s="6" t="s">
        <v>767</v>
      </c>
      <c r="D79" s="89">
        <v>0</v>
      </c>
      <c r="E79" s="89">
        <v>6775000</v>
      </c>
      <c r="F79" s="89">
        <v>0</v>
      </c>
      <c r="G79" s="37">
        <f t="shared" si="0"/>
        <v>0</v>
      </c>
      <c r="H79" s="8"/>
      <c r="I79" s="9"/>
      <c r="J79" s="40"/>
      <c r="K79" s="94"/>
      <c r="L79" s="2"/>
    </row>
    <row r="80" spans="1:12" ht="19.5" customHeight="1">
      <c r="A80" s="6"/>
      <c r="B80" s="6"/>
      <c r="C80" s="6" t="s">
        <v>768</v>
      </c>
      <c r="D80" s="89">
        <v>0</v>
      </c>
      <c r="E80" s="89">
        <v>10155000</v>
      </c>
      <c r="F80" s="89">
        <v>0</v>
      </c>
      <c r="G80" s="37">
        <f t="shared" si="0"/>
        <v>0</v>
      </c>
      <c r="H80" s="8"/>
      <c r="I80" s="9"/>
      <c r="J80" s="40"/>
      <c r="K80" s="94"/>
      <c r="L80" s="2"/>
    </row>
    <row r="81" spans="1:13" ht="23.25" customHeight="1">
      <c r="A81" s="7" t="s">
        <v>51</v>
      </c>
      <c r="B81" s="6"/>
      <c r="C81" s="6"/>
      <c r="D81" s="37">
        <v>304229000</v>
      </c>
      <c r="E81" s="37">
        <f>E82+E158+E187+E218+E232+E259+E273+E302+E333+E103+E116+E129+E145+E345</f>
        <v>195677096</v>
      </c>
      <c r="F81" s="37">
        <f>F82+F158+F187+F218+F232+F259+F273+F302+F333+F103+F116+F129+F145+F345</f>
        <v>517807750</v>
      </c>
      <c r="G81" s="37">
        <f>G82+G158+G187+G218+G232+G259+G273+G302+G333+G103+G116+G129+G145+G345</f>
        <v>214495760</v>
      </c>
      <c r="H81" s="72"/>
      <c r="I81" s="9"/>
      <c r="J81" s="40"/>
      <c r="K81" s="37"/>
      <c r="M81" s="36"/>
    </row>
    <row r="82" spans="1:13" ht="23.25" customHeight="1">
      <c r="A82" s="7"/>
      <c r="B82" s="7" t="s">
        <v>52</v>
      </c>
      <c r="C82" s="12"/>
      <c r="D82" s="37">
        <v>48750000</v>
      </c>
      <c r="E82" s="37">
        <f>SUM(E83:E102)</f>
        <v>15021603</v>
      </c>
      <c r="F82" s="37">
        <f>SUM(F83:F102)</f>
        <v>43722000</v>
      </c>
      <c r="G82" s="56">
        <f>F82-D82</f>
        <v>-5028000</v>
      </c>
      <c r="H82" s="13"/>
      <c r="I82" s="14"/>
      <c r="J82" s="42"/>
      <c r="K82" s="56"/>
      <c r="M82" s="36"/>
    </row>
    <row r="83" spans="1:13" ht="23.25" customHeight="1">
      <c r="A83" s="7"/>
      <c r="B83" s="7" t="s">
        <v>53</v>
      </c>
      <c r="C83" s="18" t="s">
        <v>55</v>
      </c>
      <c r="D83" s="53">
        <v>15600000</v>
      </c>
      <c r="E83" s="53">
        <v>4890000</v>
      </c>
      <c r="F83" s="53">
        <f>SUM(J83:J92)</f>
        <v>21302000</v>
      </c>
      <c r="G83" s="57">
        <f>F83-D83</f>
        <v>5702000</v>
      </c>
      <c r="H83" s="10" t="s">
        <v>472</v>
      </c>
      <c r="I83" s="20" t="s">
        <v>473</v>
      </c>
      <c r="J83" s="45">
        <f>30000*35*4</f>
        <v>4200000</v>
      </c>
      <c r="K83" s="57"/>
      <c r="M83" s="36"/>
    </row>
    <row r="84" spans="1:13" ht="23.25" customHeight="1">
      <c r="A84" s="7"/>
      <c r="B84" s="7" t="s">
        <v>483</v>
      </c>
      <c r="C84" s="7"/>
      <c r="D84" s="25"/>
      <c r="E84" s="25"/>
      <c r="F84" s="25"/>
      <c r="G84" s="59"/>
      <c r="H84" s="10" t="s">
        <v>769</v>
      </c>
      <c r="I84" s="20" t="s">
        <v>480</v>
      </c>
      <c r="J84" s="45">
        <f>30000*31*4</f>
        <v>3720000</v>
      </c>
      <c r="K84" s="59"/>
      <c r="M84" s="36"/>
    </row>
    <row r="85" spans="1:13" ht="23.25" customHeight="1">
      <c r="A85" s="7"/>
      <c r="B85" s="7"/>
      <c r="C85" s="7"/>
      <c r="D85" s="25"/>
      <c r="E85" s="25"/>
      <c r="F85" s="25"/>
      <c r="G85" s="59"/>
      <c r="H85" s="10" t="s">
        <v>484</v>
      </c>
      <c r="I85" s="20" t="s">
        <v>474</v>
      </c>
      <c r="J85" s="45">
        <f>15000*35*4</f>
        <v>2100000</v>
      </c>
      <c r="K85" s="59"/>
      <c r="M85" s="36"/>
    </row>
    <row r="86" spans="1:13" ht="23.25" customHeight="1">
      <c r="A86" s="7"/>
      <c r="B86" s="7"/>
      <c r="C86" s="7"/>
      <c r="D86" s="25"/>
      <c r="E86" s="25"/>
      <c r="F86" s="25"/>
      <c r="G86" s="59"/>
      <c r="H86" s="10" t="s">
        <v>489</v>
      </c>
      <c r="I86" s="20" t="s">
        <v>481</v>
      </c>
      <c r="J86" s="45">
        <f>15000*31*4</f>
        <v>1860000</v>
      </c>
      <c r="K86" s="59"/>
      <c r="M86" s="36"/>
    </row>
    <row r="87" spans="1:13" ht="23.25" customHeight="1">
      <c r="A87" s="7"/>
      <c r="B87" s="7"/>
      <c r="C87" s="7"/>
      <c r="D87" s="25"/>
      <c r="E87" s="25"/>
      <c r="F87" s="25"/>
      <c r="G87" s="59"/>
      <c r="H87" s="10" t="s">
        <v>475</v>
      </c>
      <c r="I87" s="20" t="s">
        <v>476</v>
      </c>
      <c r="J87" s="45">
        <f>50000*35</f>
        <v>1750000</v>
      </c>
      <c r="K87" s="59"/>
      <c r="M87" s="36"/>
    </row>
    <row r="88" spans="1:13" ht="23.25" customHeight="1">
      <c r="A88" s="7"/>
      <c r="B88" s="7"/>
      <c r="C88" s="7"/>
      <c r="D88" s="25"/>
      <c r="E88" s="25"/>
      <c r="F88" s="25"/>
      <c r="G88" s="59"/>
      <c r="H88" s="10" t="s">
        <v>487</v>
      </c>
      <c r="I88" s="20" t="s">
        <v>655</v>
      </c>
      <c r="J88" s="45">
        <f>40000*18*4</f>
        <v>2880000</v>
      </c>
      <c r="K88" s="59"/>
      <c r="M88" s="36"/>
    </row>
    <row r="89" spans="1:13" ht="23.25" customHeight="1">
      <c r="A89" s="7"/>
      <c r="B89" s="7"/>
      <c r="C89" s="7"/>
      <c r="D89" s="25"/>
      <c r="E89" s="25"/>
      <c r="F89" s="25"/>
      <c r="G89" s="59"/>
      <c r="H89" s="10" t="s">
        <v>488</v>
      </c>
      <c r="I89" s="20" t="s">
        <v>656</v>
      </c>
      <c r="J89" s="45">
        <f>40000*16*5</f>
        <v>3200000</v>
      </c>
      <c r="K89" s="59"/>
      <c r="M89" s="36"/>
    </row>
    <row r="90" spans="1:13" ht="23.25" customHeight="1">
      <c r="A90" s="7"/>
      <c r="B90" s="7"/>
      <c r="C90" s="7"/>
      <c r="D90" s="25"/>
      <c r="E90" s="25"/>
      <c r="F90" s="25"/>
      <c r="G90" s="59"/>
      <c r="H90" s="10" t="s">
        <v>485</v>
      </c>
      <c r="I90" s="20" t="s">
        <v>477</v>
      </c>
      <c r="J90" s="45">
        <f>3000*35*4</f>
        <v>420000</v>
      </c>
      <c r="K90" s="59"/>
      <c r="M90" s="36"/>
    </row>
    <row r="91" spans="1:13" ht="23.25" customHeight="1">
      <c r="A91" s="7"/>
      <c r="B91" s="7"/>
      <c r="C91" s="7"/>
      <c r="D91" s="25"/>
      <c r="E91" s="25"/>
      <c r="F91" s="25"/>
      <c r="G91" s="59"/>
      <c r="H91" s="10" t="s">
        <v>486</v>
      </c>
      <c r="I91" s="20" t="s">
        <v>482</v>
      </c>
      <c r="J91" s="45">
        <f>3000*31*4</f>
        <v>372000</v>
      </c>
      <c r="K91" s="59"/>
      <c r="M91" s="36"/>
    </row>
    <row r="92" spans="1:13" ht="23.25" customHeight="1">
      <c r="A92" s="7"/>
      <c r="B92" s="7"/>
      <c r="C92" s="6"/>
      <c r="D92" s="37"/>
      <c r="E92" s="37"/>
      <c r="F92" s="37"/>
      <c r="G92" s="56"/>
      <c r="H92" s="8" t="s">
        <v>491</v>
      </c>
      <c r="I92" s="21" t="s">
        <v>490</v>
      </c>
      <c r="J92" s="46">
        <v>800000</v>
      </c>
      <c r="K92" s="56"/>
      <c r="M92" s="36"/>
    </row>
    <row r="93" spans="1:13" ht="23.25" customHeight="1">
      <c r="A93" s="7"/>
      <c r="B93" s="7"/>
      <c r="C93" s="6" t="s">
        <v>54</v>
      </c>
      <c r="D93" s="37">
        <v>15000000</v>
      </c>
      <c r="E93" s="37">
        <v>100000</v>
      </c>
      <c r="F93" s="37">
        <f>SUM(J93)</f>
        <v>0</v>
      </c>
      <c r="G93" s="56">
        <f>F93-D93</f>
        <v>-15000000</v>
      </c>
      <c r="H93" s="13"/>
      <c r="I93" s="19"/>
      <c r="J93" s="44"/>
      <c r="K93" s="56"/>
      <c r="M93" s="36"/>
    </row>
    <row r="94" spans="1:13" ht="23.25" customHeight="1">
      <c r="A94" s="7"/>
      <c r="B94" s="7"/>
      <c r="C94" s="38" t="s">
        <v>58</v>
      </c>
      <c r="D94" s="37">
        <v>1800000</v>
      </c>
      <c r="E94" s="37">
        <v>1410348</v>
      </c>
      <c r="F94" s="37">
        <f>SUM(J94)</f>
        <v>3200000</v>
      </c>
      <c r="G94" s="56">
        <f t="shared" ref="G94:G102" si="1">F94-D94</f>
        <v>1400000</v>
      </c>
      <c r="H94" s="8" t="s">
        <v>59</v>
      </c>
      <c r="I94" s="21" t="s">
        <v>657</v>
      </c>
      <c r="J94" s="46">
        <f>50000*8*4*2</f>
        <v>3200000</v>
      </c>
      <c r="K94" s="56"/>
      <c r="M94" s="36"/>
    </row>
    <row r="95" spans="1:13" ht="23.25" customHeight="1">
      <c r="A95" s="7"/>
      <c r="B95" s="7"/>
      <c r="C95" s="6" t="s">
        <v>63</v>
      </c>
      <c r="D95" s="37">
        <v>2500000</v>
      </c>
      <c r="E95" s="37">
        <v>1121550</v>
      </c>
      <c r="F95" s="37">
        <f>SUM(J95)</f>
        <v>4000000</v>
      </c>
      <c r="G95" s="56">
        <f>F95-D95</f>
        <v>1500000</v>
      </c>
      <c r="H95" s="8" t="s">
        <v>64</v>
      </c>
      <c r="I95" s="21" t="s">
        <v>492</v>
      </c>
      <c r="J95" s="46">
        <f>2000000*2</f>
        <v>4000000</v>
      </c>
      <c r="K95" s="56"/>
      <c r="M95" s="36"/>
    </row>
    <row r="96" spans="1:13" ht="23.25" customHeight="1">
      <c r="A96" s="7"/>
      <c r="B96" s="7"/>
      <c r="C96" s="38" t="s">
        <v>45</v>
      </c>
      <c r="D96" s="37">
        <v>3750000</v>
      </c>
      <c r="E96" s="37">
        <v>2099800</v>
      </c>
      <c r="F96" s="37">
        <f t="shared" ref="F96:F102" si="2">SUM(J96)</f>
        <v>4000000</v>
      </c>
      <c r="G96" s="56">
        <f t="shared" si="1"/>
        <v>250000</v>
      </c>
      <c r="H96" s="8" t="s">
        <v>60</v>
      </c>
      <c r="I96" s="21" t="s">
        <v>492</v>
      </c>
      <c r="J96" s="44">
        <f>2000000*2</f>
        <v>4000000</v>
      </c>
      <c r="K96" s="56"/>
      <c r="M96" s="36"/>
    </row>
    <row r="97" spans="1:13" ht="23.25" customHeight="1">
      <c r="A97" s="7"/>
      <c r="B97" s="7"/>
      <c r="C97" s="38" t="s">
        <v>61</v>
      </c>
      <c r="D97" s="37">
        <v>4500000</v>
      </c>
      <c r="E97" s="37">
        <v>3764905</v>
      </c>
      <c r="F97" s="37">
        <f t="shared" si="2"/>
        <v>1500000</v>
      </c>
      <c r="G97" s="56">
        <f t="shared" si="1"/>
        <v>-3000000</v>
      </c>
      <c r="H97" s="8" t="s">
        <v>62</v>
      </c>
      <c r="I97" s="21"/>
      <c r="J97" s="46">
        <v>1500000</v>
      </c>
      <c r="K97" s="56"/>
      <c r="M97" s="36"/>
    </row>
    <row r="98" spans="1:13" ht="23.25" customHeight="1">
      <c r="A98" s="7"/>
      <c r="B98" s="7"/>
      <c r="C98" s="18" t="s">
        <v>35</v>
      </c>
      <c r="D98" s="53">
        <v>2100000</v>
      </c>
      <c r="E98" s="53">
        <v>1629000</v>
      </c>
      <c r="F98" s="53">
        <f>SUM(J98:J99)</f>
        <v>5720000</v>
      </c>
      <c r="G98" s="57">
        <f t="shared" si="1"/>
        <v>3620000</v>
      </c>
      <c r="H98" s="15" t="s">
        <v>478</v>
      </c>
      <c r="I98" s="26" t="s">
        <v>479</v>
      </c>
      <c r="J98" s="47">
        <f>660000*2</f>
        <v>1320000</v>
      </c>
      <c r="K98" s="57"/>
      <c r="M98" s="36"/>
    </row>
    <row r="99" spans="1:13" ht="23.25" customHeight="1">
      <c r="A99" s="7"/>
      <c r="B99" s="7"/>
      <c r="C99" s="6"/>
      <c r="D99" s="37"/>
      <c r="E99" s="37"/>
      <c r="F99" s="37"/>
      <c r="G99" s="56"/>
      <c r="H99" s="8" t="s">
        <v>198</v>
      </c>
      <c r="I99" s="21"/>
      <c r="J99" s="46">
        <v>4400000</v>
      </c>
      <c r="K99" s="56"/>
      <c r="M99" s="36"/>
    </row>
    <row r="100" spans="1:13" ht="23.25" customHeight="1">
      <c r="A100" s="7"/>
      <c r="B100" s="7"/>
      <c r="C100" s="12" t="s">
        <v>37</v>
      </c>
      <c r="D100" s="37">
        <v>0</v>
      </c>
      <c r="E100" s="37"/>
      <c r="F100" s="37">
        <f>SUM(J100)</f>
        <v>2000000</v>
      </c>
      <c r="G100" s="56">
        <f>F100-D100</f>
        <v>2000000</v>
      </c>
      <c r="H100" s="13" t="s">
        <v>38</v>
      </c>
      <c r="I100" s="19"/>
      <c r="J100" s="44">
        <v>2000000</v>
      </c>
      <c r="K100" s="56"/>
      <c r="M100" s="36"/>
    </row>
    <row r="101" spans="1:13" ht="23.25" customHeight="1">
      <c r="A101" s="7"/>
      <c r="B101" s="7"/>
      <c r="C101" s="12" t="s">
        <v>65</v>
      </c>
      <c r="D101" s="37">
        <v>3000000</v>
      </c>
      <c r="E101" s="37">
        <v>0</v>
      </c>
      <c r="F101" s="37">
        <f t="shared" si="2"/>
        <v>0</v>
      </c>
      <c r="G101" s="56">
        <f t="shared" si="1"/>
        <v>-3000000</v>
      </c>
      <c r="H101" s="13"/>
      <c r="I101" s="19"/>
      <c r="J101" s="44"/>
      <c r="K101" s="56"/>
      <c r="M101" s="36"/>
    </row>
    <row r="102" spans="1:13" ht="23.25" customHeight="1">
      <c r="A102" s="6"/>
      <c r="B102" s="6"/>
      <c r="C102" s="12" t="s">
        <v>67</v>
      </c>
      <c r="D102" s="37">
        <v>500000</v>
      </c>
      <c r="E102" s="37">
        <v>6000</v>
      </c>
      <c r="F102" s="37">
        <f t="shared" si="2"/>
        <v>2000000</v>
      </c>
      <c r="G102" s="56">
        <f t="shared" si="1"/>
        <v>1500000</v>
      </c>
      <c r="H102" s="13" t="s">
        <v>68</v>
      </c>
      <c r="I102" s="19" t="s">
        <v>220</v>
      </c>
      <c r="J102" s="44">
        <f>1000000*2</f>
        <v>2000000</v>
      </c>
      <c r="K102" s="56"/>
      <c r="M102" s="36"/>
    </row>
    <row r="103" spans="1:13" ht="19.5" customHeight="1">
      <c r="A103" s="7" t="s">
        <v>51</v>
      </c>
      <c r="B103" s="7" t="s">
        <v>52</v>
      </c>
      <c r="C103" s="6"/>
      <c r="D103" s="37">
        <f>SUM(D104:D115)</f>
        <v>0</v>
      </c>
      <c r="E103" s="37">
        <f>SUM(E104:E115)</f>
        <v>0</v>
      </c>
      <c r="F103" s="37">
        <f>SUM(F104:F115)</f>
        <v>18103000</v>
      </c>
      <c r="G103" s="37">
        <f>SUM(G104:G115)</f>
        <v>18103000</v>
      </c>
      <c r="H103" s="13"/>
      <c r="I103" s="19"/>
      <c r="J103" s="44"/>
      <c r="K103" s="37"/>
      <c r="M103" s="36"/>
    </row>
    <row r="104" spans="1:13" ht="19.5" customHeight="1">
      <c r="A104" s="7"/>
      <c r="B104" s="7" t="s">
        <v>493</v>
      </c>
      <c r="C104" s="18" t="s">
        <v>55</v>
      </c>
      <c r="D104" s="25">
        <v>0</v>
      </c>
      <c r="E104" s="25">
        <v>0</v>
      </c>
      <c r="F104" s="25">
        <f>SUM(J104:J106)</f>
        <v>3483000</v>
      </c>
      <c r="G104" s="59">
        <f>F104-D104</f>
        <v>3483000</v>
      </c>
      <c r="H104" s="15" t="s">
        <v>77</v>
      </c>
      <c r="I104" s="26" t="s">
        <v>495</v>
      </c>
      <c r="J104" s="47">
        <f>30000*27*3</f>
        <v>2430000</v>
      </c>
      <c r="K104" s="59"/>
      <c r="M104" s="36"/>
    </row>
    <row r="105" spans="1:13" ht="19.5" customHeight="1">
      <c r="A105" s="7"/>
      <c r="B105" s="7"/>
      <c r="C105" s="7"/>
      <c r="D105" s="25"/>
      <c r="E105" s="25"/>
      <c r="F105" s="25"/>
      <c r="G105" s="59"/>
      <c r="H105" s="10" t="s">
        <v>78</v>
      </c>
      <c r="I105" s="20" t="s">
        <v>497</v>
      </c>
      <c r="J105" s="45">
        <f>10000*27*3</f>
        <v>810000</v>
      </c>
      <c r="K105" s="59"/>
      <c r="M105" s="36"/>
    </row>
    <row r="106" spans="1:13" ht="19.5" customHeight="1">
      <c r="A106" s="7"/>
      <c r="B106" s="7"/>
      <c r="C106" s="6"/>
      <c r="D106" s="37"/>
      <c r="E106" s="37"/>
      <c r="F106" s="37"/>
      <c r="G106" s="56"/>
      <c r="H106" s="8" t="s">
        <v>267</v>
      </c>
      <c r="I106" s="21" t="s">
        <v>496</v>
      </c>
      <c r="J106" s="46">
        <f>3000*27*3</f>
        <v>243000</v>
      </c>
      <c r="K106" s="56"/>
      <c r="M106" s="36"/>
    </row>
    <row r="107" spans="1:13" ht="19.5" customHeight="1">
      <c r="A107" s="7"/>
      <c r="B107" s="7"/>
      <c r="C107" s="6" t="s">
        <v>54</v>
      </c>
      <c r="D107" s="37">
        <v>0</v>
      </c>
      <c r="E107" s="37">
        <v>0</v>
      </c>
      <c r="F107" s="37">
        <f>SUM(J107)</f>
        <v>3000000</v>
      </c>
      <c r="G107" s="56">
        <f t="shared" ref="G107:G112" si="3">F107-D107</f>
        <v>3000000</v>
      </c>
      <c r="H107" s="13" t="s">
        <v>137</v>
      </c>
      <c r="I107" s="19" t="s">
        <v>494</v>
      </c>
      <c r="J107" s="44">
        <f>1000000*3</f>
        <v>3000000</v>
      </c>
      <c r="K107" s="56"/>
      <c r="M107" s="36"/>
    </row>
    <row r="108" spans="1:13" ht="19.5" customHeight="1">
      <c r="A108" s="7"/>
      <c r="B108" s="7"/>
      <c r="C108" s="12" t="s">
        <v>58</v>
      </c>
      <c r="D108" s="37">
        <v>0</v>
      </c>
      <c r="E108" s="37">
        <v>0</v>
      </c>
      <c r="F108" s="37">
        <f>SUM(J108)</f>
        <v>600000</v>
      </c>
      <c r="G108" s="56">
        <f t="shared" si="3"/>
        <v>600000</v>
      </c>
      <c r="H108" s="13" t="s">
        <v>59</v>
      </c>
      <c r="I108" s="19" t="s">
        <v>658</v>
      </c>
      <c r="J108" s="44">
        <f>50000*4*3</f>
        <v>600000</v>
      </c>
      <c r="K108" s="56"/>
      <c r="M108" s="36"/>
    </row>
    <row r="109" spans="1:13" ht="19.5" customHeight="1">
      <c r="A109" s="7"/>
      <c r="B109" s="7"/>
      <c r="C109" s="12" t="s">
        <v>63</v>
      </c>
      <c r="D109" s="37">
        <v>0</v>
      </c>
      <c r="E109" s="37">
        <v>0</v>
      </c>
      <c r="F109" s="37">
        <f>SUM(J109)</f>
        <v>1000000</v>
      </c>
      <c r="G109" s="56">
        <f t="shared" si="3"/>
        <v>1000000</v>
      </c>
      <c r="H109" s="13" t="s">
        <v>64</v>
      </c>
      <c r="I109" s="19"/>
      <c r="J109" s="44">
        <v>1000000</v>
      </c>
      <c r="K109" s="56"/>
      <c r="M109" s="36"/>
    </row>
    <row r="110" spans="1:13" ht="19.5" customHeight="1">
      <c r="A110" s="7"/>
      <c r="B110" s="7"/>
      <c r="C110" s="12" t="s">
        <v>45</v>
      </c>
      <c r="D110" s="37">
        <v>0</v>
      </c>
      <c r="E110" s="37">
        <v>0</v>
      </c>
      <c r="F110" s="37">
        <f>SUM(J110)</f>
        <v>2000000</v>
      </c>
      <c r="G110" s="56">
        <f t="shared" si="3"/>
        <v>2000000</v>
      </c>
      <c r="H110" s="13" t="s">
        <v>60</v>
      </c>
      <c r="I110" s="19"/>
      <c r="J110" s="44">
        <v>2000000</v>
      </c>
      <c r="K110" s="56"/>
      <c r="M110" s="36"/>
    </row>
    <row r="111" spans="1:13" ht="19.5" customHeight="1">
      <c r="A111" s="7"/>
      <c r="B111" s="7"/>
      <c r="C111" s="12" t="s">
        <v>61</v>
      </c>
      <c r="D111" s="37">
        <v>0</v>
      </c>
      <c r="E111" s="37">
        <v>0</v>
      </c>
      <c r="F111" s="37">
        <f>SUM(J111)</f>
        <v>1000000</v>
      </c>
      <c r="G111" s="56">
        <f t="shared" si="3"/>
        <v>1000000</v>
      </c>
      <c r="H111" s="13" t="s">
        <v>498</v>
      </c>
      <c r="I111" s="19"/>
      <c r="J111" s="44">
        <v>1000000</v>
      </c>
      <c r="K111" s="56"/>
      <c r="M111" s="36"/>
    </row>
    <row r="112" spans="1:13" ht="19.5" customHeight="1">
      <c r="A112" s="7"/>
      <c r="B112" s="7"/>
      <c r="C112" s="18" t="s">
        <v>35</v>
      </c>
      <c r="D112" s="25">
        <v>0</v>
      </c>
      <c r="E112" s="25">
        <v>0</v>
      </c>
      <c r="F112" s="25">
        <f>SUM(J112:J113)</f>
        <v>4020000</v>
      </c>
      <c r="G112" s="59">
        <f t="shared" si="3"/>
        <v>4020000</v>
      </c>
      <c r="H112" s="15" t="s">
        <v>478</v>
      </c>
      <c r="I112" s="26" t="s">
        <v>499</v>
      </c>
      <c r="J112" s="47">
        <f>360000*2</f>
        <v>720000</v>
      </c>
      <c r="K112" s="59"/>
      <c r="M112" s="36"/>
    </row>
    <row r="113" spans="1:13" ht="19.5" customHeight="1">
      <c r="A113" s="7"/>
      <c r="B113" s="7"/>
      <c r="C113" s="6"/>
      <c r="D113" s="37"/>
      <c r="E113" s="37"/>
      <c r="F113" s="37"/>
      <c r="G113" s="56"/>
      <c r="H113" s="8" t="s">
        <v>198</v>
      </c>
      <c r="I113" s="21"/>
      <c r="J113" s="46">
        <v>3300000</v>
      </c>
      <c r="K113" s="56"/>
      <c r="M113" s="36"/>
    </row>
    <row r="114" spans="1:13" ht="19.5" customHeight="1">
      <c r="A114" s="7"/>
      <c r="B114" s="7"/>
      <c r="C114" s="12" t="s">
        <v>37</v>
      </c>
      <c r="D114" s="37">
        <v>0</v>
      </c>
      <c r="E114" s="37">
        <v>0</v>
      </c>
      <c r="F114" s="37">
        <f>SUM(J114)</f>
        <v>2000000</v>
      </c>
      <c r="G114" s="56">
        <f>F114-D114</f>
        <v>2000000</v>
      </c>
      <c r="H114" s="13" t="s">
        <v>38</v>
      </c>
      <c r="I114" s="19"/>
      <c r="J114" s="44">
        <v>2000000</v>
      </c>
      <c r="K114" s="56"/>
      <c r="M114" s="36"/>
    </row>
    <row r="115" spans="1:13" ht="19.5" customHeight="1">
      <c r="A115" s="7"/>
      <c r="B115" s="6"/>
      <c r="C115" s="12" t="s">
        <v>85</v>
      </c>
      <c r="D115" s="37">
        <v>0</v>
      </c>
      <c r="E115" s="37">
        <v>0</v>
      </c>
      <c r="F115" s="37">
        <f>SUM(J115)</f>
        <v>1000000</v>
      </c>
      <c r="G115" s="56">
        <f>F115-D115</f>
        <v>1000000</v>
      </c>
      <c r="H115" s="13" t="s">
        <v>68</v>
      </c>
      <c r="I115" s="19"/>
      <c r="J115" s="44">
        <f>1000000</f>
        <v>1000000</v>
      </c>
      <c r="K115" s="56"/>
      <c r="M115" s="36"/>
    </row>
    <row r="116" spans="1:13" ht="19.5" customHeight="1">
      <c r="A116" s="7"/>
      <c r="B116" s="7" t="s">
        <v>500</v>
      </c>
      <c r="C116" s="6"/>
      <c r="D116" s="37">
        <f>SUM(D117:D128)</f>
        <v>0</v>
      </c>
      <c r="E116" s="37">
        <f>SUM(E117:E128)</f>
        <v>0</v>
      </c>
      <c r="F116" s="37">
        <f>SUM(F117:F128)</f>
        <v>23164000</v>
      </c>
      <c r="G116" s="37">
        <f>SUM(G117:G128)</f>
        <v>23164000</v>
      </c>
      <c r="H116" s="13"/>
      <c r="I116" s="19"/>
      <c r="J116" s="44"/>
      <c r="K116" s="37"/>
      <c r="M116" s="36"/>
    </row>
    <row r="117" spans="1:13" ht="19.5" customHeight="1">
      <c r="A117" s="7"/>
      <c r="B117" s="7" t="s">
        <v>53</v>
      </c>
      <c r="C117" s="18" t="s">
        <v>55</v>
      </c>
      <c r="D117" s="25">
        <v>0</v>
      </c>
      <c r="E117" s="25">
        <v>0</v>
      </c>
      <c r="F117" s="25">
        <f>SUM(J117:J119)</f>
        <v>4644000</v>
      </c>
      <c r="G117" s="59">
        <f>F117-D117</f>
        <v>4644000</v>
      </c>
      <c r="H117" s="15" t="s">
        <v>77</v>
      </c>
      <c r="I117" s="26" t="s">
        <v>503</v>
      </c>
      <c r="J117" s="47">
        <f>30000*27*4</f>
        <v>3240000</v>
      </c>
      <c r="K117" s="59"/>
      <c r="M117" s="36"/>
    </row>
    <row r="118" spans="1:13" ht="19.5" customHeight="1">
      <c r="A118" s="7"/>
      <c r="B118" s="7"/>
      <c r="C118" s="7"/>
      <c r="D118" s="25"/>
      <c r="E118" s="25"/>
      <c r="F118" s="25"/>
      <c r="G118" s="59"/>
      <c r="H118" s="10" t="s">
        <v>78</v>
      </c>
      <c r="I118" s="20" t="s">
        <v>504</v>
      </c>
      <c r="J118" s="45">
        <f>10000*27*4</f>
        <v>1080000</v>
      </c>
      <c r="K118" s="59"/>
      <c r="M118" s="36"/>
    </row>
    <row r="119" spans="1:13" ht="19.5" customHeight="1">
      <c r="A119" s="7"/>
      <c r="B119" s="7"/>
      <c r="C119" s="6"/>
      <c r="D119" s="37"/>
      <c r="E119" s="37"/>
      <c r="F119" s="37"/>
      <c r="G119" s="56"/>
      <c r="H119" s="8" t="s">
        <v>502</v>
      </c>
      <c r="I119" s="21" t="s">
        <v>505</v>
      </c>
      <c r="J119" s="46">
        <f>3000*27*4</f>
        <v>324000</v>
      </c>
      <c r="K119" s="56"/>
      <c r="M119" s="36"/>
    </row>
    <row r="120" spans="1:13" ht="19.5" customHeight="1">
      <c r="A120" s="7"/>
      <c r="B120" s="2"/>
      <c r="C120" s="12" t="s">
        <v>54</v>
      </c>
      <c r="D120" s="37">
        <v>0</v>
      </c>
      <c r="E120" s="37">
        <v>0</v>
      </c>
      <c r="F120" s="37">
        <f>SUM(J120)</f>
        <v>4000000</v>
      </c>
      <c r="G120" s="56">
        <f t="shared" ref="G120:G125" si="4">F120-D120</f>
        <v>4000000</v>
      </c>
      <c r="H120" s="13" t="s">
        <v>137</v>
      </c>
      <c r="I120" s="19" t="s">
        <v>501</v>
      </c>
      <c r="J120" s="44">
        <f>1000000*4</f>
        <v>4000000</v>
      </c>
      <c r="K120" s="56"/>
      <c r="M120" s="36"/>
    </row>
    <row r="121" spans="1:13" ht="19.5" customHeight="1">
      <c r="A121" s="7"/>
      <c r="B121" s="7"/>
      <c r="C121" s="12" t="s">
        <v>58</v>
      </c>
      <c r="D121" s="37">
        <v>0</v>
      </c>
      <c r="E121" s="37">
        <v>0</v>
      </c>
      <c r="F121" s="37">
        <f>SUM(J121)</f>
        <v>800000</v>
      </c>
      <c r="G121" s="56">
        <f t="shared" si="4"/>
        <v>800000</v>
      </c>
      <c r="H121" s="13" t="s">
        <v>59</v>
      </c>
      <c r="I121" s="19" t="s">
        <v>659</v>
      </c>
      <c r="J121" s="44">
        <f>50000*4*4</f>
        <v>800000</v>
      </c>
      <c r="K121" s="56"/>
      <c r="M121" s="36"/>
    </row>
    <row r="122" spans="1:13" ht="19.5" customHeight="1">
      <c r="A122" s="7"/>
      <c r="B122" s="7"/>
      <c r="C122" s="12" t="s">
        <v>63</v>
      </c>
      <c r="D122" s="37">
        <v>0</v>
      </c>
      <c r="E122" s="37">
        <v>0</v>
      </c>
      <c r="F122" s="37">
        <f>SUM(J122)</f>
        <v>2000000</v>
      </c>
      <c r="G122" s="56">
        <f t="shared" si="4"/>
        <v>2000000</v>
      </c>
      <c r="H122" s="13" t="s">
        <v>64</v>
      </c>
      <c r="I122" s="19"/>
      <c r="J122" s="44">
        <v>2000000</v>
      </c>
      <c r="K122" s="56"/>
      <c r="M122" s="36"/>
    </row>
    <row r="123" spans="1:13" ht="19.5" customHeight="1">
      <c r="A123" s="7"/>
      <c r="B123" s="7"/>
      <c r="C123" s="12" t="s">
        <v>45</v>
      </c>
      <c r="D123" s="37">
        <v>0</v>
      </c>
      <c r="E123" s="37">
        <v>0</v>
      </c>
      <c r="F123" s="37">
        <f>SUM(J123)</f>
        <v>2000000</v>
      </c>
      <c r="G123" s="56">
        <f t="shared" si="4"/>
        <v>2000000</v>
      </c>
      <c r="H123" s="13" t="s">
        <v>60</v>
      </c>
      <c r="I123" s="19"/>
      <c r="J123" s="44">
        <v>2000000</v>
      </c>
      <c r="K123" s="56"/>
      <c r="M123" s="36"/>
    </row>
    <row r="124" spans="1:13" ht="19.5" customHeight="1">
      <c r="A124" s="7"/>
      <c r="B124" s="7"/>
      <c r="C124" s="12" t="s">
        <v>61</v>
      </c>
      <c r="D124" s="37">
        <v>0</v>
      </c>
      <c r="E124" s="37">
        <v>0</v>
      </c>
      <c r="F124" s="37">
        <f>SUM(J124)</f>
        <v>1000000</v>
      </c>
      <c r="G124" s="56">
        <f t="shared" si="4"/>
        <v>1000000</v>
      </c>
      <c r="H124" s="13" t="s">
        <v>498</v>
      </c>
      <c r="I124" s="19"/>
      <c r="J124" s="44">
        <v>1000000</v>
      </c>
      <c r="K124" s="56"/>
      <c r="M124" s="36"/>
    </row>
    <row r="125" spans="1:13" ht="19.5" customHeight="1">
      <c r="A125" s="7"/>
      <c r="B125" s="7"/>
      <c r="C125" s="18" t="s">
        <v>35</v>
      </c>
      <c r="D125" s="25">
        <v>0</v>
      </c>
      <c r="E125" s="25">
        <v>0</v>
      </c>
      <c r="F125" s="25">
        <f>SUM(J125:J126)</f>
        <v>5720000</v>
      </c>
      <c r="G125" s="59">
        <f t="shared" si="4"/>
        <v>5720000</v>
      </c>
      <c r="H125" s="15" t="s">
        <v>478</v>
      </c>
      <c r="I125" s="26" t="s">
        <v>479</v>
      </c>
      <c r="J125" s="47">
        <f>660000*2</f>
        <v>1320000</v>
      </c>
      <c r="K125" s="59"/>
      <c r="M125" s="36"/>
    </row>
    <row r="126" spans="1:13" ht="19.5" customHeight="1">
      <c r="A126" s="7"/>
      <c r="B126" s="7"/>
      <c r="C126" s="6"/>
      <c r="D126" s="37"/>
      <c r="E126" s="37"/>
      <c r="F126" s="37"/>
      <c r="G126" s="56"/>
      <c r="H126" s="8" t="s">
        <v>198</v>
      </c>
      <c r="I126" s="21"/>
      <c r="J126" s="46">
        <v>4400000</v>
      </c>
      <c r="K126" s="56"/>
      <c r="M126" s="36"/>
    </row>
    <row r="127" spans="1:13" ht="19.5" customHeight="1">
      <c r="A127" s="7"/>
      <c r="B127" s="7"/>
      <c r="C127" s="12" t="s">
        <v>37</v>
      </c>
      <c r="D127" s="37">
        <v>0</v>
      </c>
      <c r="E127" s="37">
        <v>0</v>
      </c>
      <c r="F127" s="37">
        <f>SUM(J127)</f>
        <v>2000000</v>
      </c>
      <c r="G127" s="56">
        <f>F127-D127</f>
        <v>2000000</v>
      </c>
      <c r="H127" s="13" t="s">
        <v>38</v>
      </c>
      <c r="I127" s="19"/>
      <c r="J127" s="44">
        <v>2000000</v>
      </c>
      <c r="K127" s="56"/>
      <c r="M127" s="36"/>
    </row>
    <row r="128" spans="1:13" ht="19.5" customHeight="1">
      <c r="A128" s="6"/>
      <c r="B128" s="6"/>
      <c r="C128" s="12" t="s">
        <v>85</v>
      </c>
      <c r="D128" s="37">
        <v>0</v>
      </c>
      <c r="E128" s="37">
        <v>0</v>
      </c>
      <c r="F128" s="37">
        <f>SUM(J128)</f>
        <v>1000000</v>
      </c>
      <c r="G128" s="56">
        <f>F128-D128</f>
        <v>1000000</v>
      </c>
      <c r="H128" s="13" t="s">
        <v>68</v>
      </c>
      <c r="I128" s="19"/>
      <c r="J128" s="44">
        <f>1000000</f>
        <v>1000000</v>
      </c>
      <c r="K128" s="56"/>
      <c r="M128" s="36"/>
    </row>
    <row r="129" spans="1:13" ht="17.25" customHeight="1">
      <c r="A129" s="7" t="s">
        <v>51</v>
      </c>
      <c r="B129" s="7" t="s">
        <v>264</v>
      </c>
      <c r="C129" s="6"/>
      <c r="D129" s="37">
        <f>SUM(D130:D144)</f>
        <v>0</v>
      </c>
      <c r="E129" s="37">
        <f>SUM(E130:E144)</f>
        <v>0</v>
      </c>
      <c r="F129" s="37">
        <f>SUM(F130:F144)</f>
        <v>53116000</v>
      </c>
      <c r="G129" s="37">
        <f>SUM(G130:G144)</f>
        <v>53116000</v>
      </c>
      <c r="H129" s="13"/>
      <c r="I129" s="19"/>
      <c r="J129" s="44"/>
      <c r="K129" s="37"/>
      <c r="M129" s="36"/>
    </row>
    <row r="130" spans="1:13" ht="17.25" customHeight="1">
      <c r="A130" s="7"/>
      <c r="B130" s="7" t="s">
        <v>53</v>
      </c>
      <c r="C130" s="18" t="s">
        <v>55</v>
      </c>
      <c r="D130" s="25">
        <v>0</v>
      </c>
      <c r="E130" s="25">
        <v>0</v>
      </c>
      <c r="F130" s="25">
        <f>SUM(J130:J135)</f>
        <v>15996000</v>
      </c>
      <c r="G130" s="59">
        <f>F130-D130</f>
        <v>15996000</v>
      </c>
      <c r="H130" s="15" t="s">
        <v>77</v>
      </c>
      <c r="I130" s="26" t="s">
        <v>507</v>
      </c>
      <c r="J130" s="47">
        <f>30000*35*6</f>
        <v>6300000</v>
      </c>
      <c r="K130" s="59"/>
      <c r="M130" s="36"/>
    </row>
    <row r="131" spans="1:13" ht="17.25" customHeight="1">
      <c r="A131" s="7"/>
      <c r="B131" s="7" t="s">
        <v>506</v>
      </c>
      <c r="C131" s="7"/>
      <c r="D131" s="25"/>
      <c r="E131" s="25"/>
      <c r="F131" s="25"/>
      <c r="G131" s="59"/>
      <c r="H131" s="10"/>
      <c r="I131" s="20" t="s">
        <v>508</v>
      </c>
      <c r="J131" s="45">
        <f>30000*27*6</f>
        <v>4860000</v>
      </c>
      <c r="K131" s="59"/>
      <c r="M131" s="36"/>
    </row>
    <row r="132" spans="1:13" ht="17.25" customHeight="1">
      <c r="A132" s="7"/>
      <c r="B132" s="7"/>
      <c r="C132" s="7"/>
      <c r="D132" s="25"/>
      <c r="E132" s="25"/>
      <c r="F132" s="25"/>
      <c r="G132" s="59"/>
      <c r="H132" s="10" t="s">
        <v>78</v>
      </c>
      <c r="I132" s="20" t="s">
        <v>509</v>
      </c>
      <c r="J132" s="45">
        <f>10000*35*6</f>
        <v>2100000</v>
      </c>
      <c r="K132" s="59"/>
      <c r="M132" s="36"/>
    </row>
    <row r="133" spans="1:13" ht="17.25" customHeight="1">
      <c r="A133" s="7"/>
      <c r="B133" s="7"/>
      <c r="C133" s="7"/>
      <c r="D133" s="25"/>
      <c r="E133" s="25"/>
      <c r="F133" s="25"/>
      <c r="G133" s="59"/>
      <c r="H133" s="10"/>
      <c r="I133" s="20" t="s">
        <v>510</v>
      </c>
      <c r="J133" s="45">
        <f>10000*27*6</f>
        <v>1620000</v>
      </c>
      <c r="K133" s="59"/>
      <c r="M133" s="36"/>
    </row>
    <row r="134" spans="1:13" ht="17.25" customHeight="1">
      <c r="A134" s="7"/>
      <c r="B134" s="7"/>
      <c r="C134" s="7"/>
      <c r="D134" s="25"/>
      <c r="E134" s="25"/>
      <c r="F134" s="25"/>
      <c r="G134" s="59"/>
      <c r="H134" s="10" t="s">
        <v>267</v>
      </c>
      <c r="I134" s="20" t="s">
        <v>511</v>
      </c>
      <c r="J134" s="45">
        <f>3000*35*6</f>
        <v>630000</v>
      </c>
      <c r="K134" s="59"/>
      <c r="M134" s="36"/>
    </row>
    <row r="135" spans="1:13" ht="17.25" customHeight="1">
      <c r="A135" s="7"/>
      <c r="B135" s="7"/>
      <c r="C135" s="6"/>
      <c r="D135" s="37"/>
      <c r="E135" s="37"/>
      <c r="F135" s="37"/>
      <c r="G135" s="56"/>
      <c r="H135" s="8"/>
      <c r="I135" s="21" t="s">
        <v>512</v>
      </c>
      <c r="J135" s="46">
        <f>3000*27*6</f>
        <v>486000</v>
      </c>
      <c r="K135" s="56"/>
      <c r="M135" s="36"/>
    </row>
    <row r="136" spans="1:13" ht="17.25" customHeight="1">
      <c r="A136" s="7"/>
      <c r="B136" s="7"/>
      <c r="C136" s="12" t="s">
        <v>54</v>
      </c>
      <c r="D136" s="37">
        <v>0</v>
      </c>
      <c r="E136" s="37">
        <v>0</v>
      </c>
      <c r="F136" s="37">
        <f>SUM(J136)</f>
        <v>12000000</v>
      </c>
      <c r="G136" s="56">
        <f>F136-D136</f>
        <v>12000000</v>
      </c>
      <c r="H136" s="13" t="s">
        <v>137</v>
      </c>
      <c r="I136" s="19" t="s">
        <v>513</v>
      </c>
      <c r="J136" s="44">
        <f>12*1000000</f>
        <v>12000000</v>
      </c>
      <c r="K136" s="56"/>
      <c r="M136" s="36"/>
    </row>
    <row r="137" spans="1:13" ht="17.25" customHeight="1">
      <c r="A137" s="7"/>
      <c r="B137" s="7"/>
      <c r="C137" s="12" t="s">
        <v>58</v>
      </c>
      <c r="D137" s="37">
        <v>0</v>
      </c>
      <c r="E137" s="37">
        <v>0</v>
      </c>
      <c r="F137" s="37">
        <f>SUM(J137)</f>
        <v>2400000</v>
      </c>
      <c r="G137" s="56">
        <f t="shared" ref="G137:G144" si="5">F137-D137</f>
        <v>2400000</v>
      </c>
      <c r="H137" s="13" t="s">
        <v>59</v>
      </c>
      <c r="I137" s="19" t="s">
        <v>660</v>
      </c>
      <c r="J137" s="44">
        <f>50000*4*6*2</f>
        <v>2400000</v>
      </c>
      <c r="K137" s="56"/>
      <c r="M137" s="36"/>
    </row>
    <row r="138" spans="1:13" ht="17.25" customHeight="1">
      <c r="A138" s="7"/>
      <c r="B138" s="7"/>
      <c r="C138" s="12" t="s">
        <v>63</v>
      </c>
      <c r="D138" s="37">
        <v>0</v>
      </c>
      <c r="E138" s="37">
        <v>0</v>
      </c>
      <c r="F138" s="37">
        <f>SUM(J138)</f>
        <v>4000000</v>
      </c>
      <c r="G138" s="56">
        <f t="shared" si="5"/>
        <v>4000000</v>
      </c>
      <c r="H138" s="13" t="s">
        <v>64</v>
      </c>
      <c r="I138" s="19" t="s">
        <v>492</v>
      </c>
      <c r="J138" s="44">
        <v>4000000</v>
      </c>
      <c r="K138" s="56"/>
      <c r="M138" s="36"/>
    </row>
    <row r="139" spans="1:13" ht="17.25" customHeight="1">
      <c r="A139" s="7"/>
      <c r="B139" s="7"/>
      <c r="C139" s="12" t="s">
        <v>45</v>
      </c>
      <c r="D139" s="37">
        <v>0</v>
      </c>
      <c r="E139" s="37">
        <v>0</v>
      </c>
      <c r="F139" s="37">
        <f>SUM(J139)</f>
        <v>4000000</v>
      </c>
      <c r="G139" s="56">
        <f t="shared" si="5"/>
        <v>4000000</v>
      </c>
      <c r="H139" s="13" t="s">
        <v>60</v>
      </c>
      <c r="I139" s="19" t="s">
        <v>492</v>
      </c>
      <c r="J139" s="44">
        <v>4000000</v>
      </c>
      <c r="K139" s="56"/>
      <c r="M139" s="36"/>
    </row>
    <row r="140" spans="1:13" ht="17.25" customHeight="1">
      <c r="A140" s="7"/>
      <c r="B140" s="7"/>
      <c r="C140" s="12" t="s">
        <v>61</v>
      </c>
      <c r="D140" s="37">
        <v>0</v>
      </c>
      <c r="E140" s="37">
        <v>0</v>
      </c>
      <c r="F140" s="37">
        <f>SUM(J140)</f>
        <v>3000000</v>
      </c>
      <c r="G140" s="56">
        <f t="shared" si="5"/>
        <v>3000000</v>
      </c>
      <c r="H140" s="13" t="s">
        <v>498</v>
      </c>
      <c r="I140" s="19"/>
      <c r="J140" s="44">
        <v>3000000</v>
      </c>
      <c r="K140" s="56"/>
      <c r="M140" s="36"/>
    </row>
    <row r="141" spans="1:13" ht="17.25" customHeight="1">
      <c r="A141" s="7"/>
      <c r="B141" s="7"/>
      <c r="C141" s="18" t="s">
        <v>35</v>
      </c>
      <c r="D141" s="25">
        <v>0</v>
      </c>
      <c r="E141" s="25">
        <v>0</v>
      </c>
      <c r="F141" s="25">
        <f>SUM(J141:J142)</f>
        <v>5720000</v>
      </c>
      <c r="G141" s="59">
        <f t="shared" si="5"/>
        <v>5720000</v>
      </c>
      <c r="H141" s="15" t="s">
        <v>478</v>
      </c>
      <c r="I141" s="26" t="s">
        <v>479</v>
      </c>
      <c r="J141" s="47">
        <f>660000*2</f>
        <v>1320000</v>
      </c>
      <c r="K141" s="59"/>
      <c r="M141" s="36"/>
    </row>
    <row r="142" spans="1:13" ht="17.25" customHeight="1">
      <c r="A142" s="7"/>
      <c r="B142" s="7"/>
      <c r="C142" s="6"/>
      <c r="D142" s="37"/>
      <c r="E142" s="37"/>
      <c r="F142" s="37"/>
      <c r="G142" s="56"/>
      <c r="H142" s="8" t="s">
        <v>198</v>
      </c>
      <c r="I142" s="21" t="s">
        <v>514</v>
      </c>
      <c r="J142" s="46">
        <f>2200000*2</f>
        <v>4400000</v>
      </c>
      <c r="K142" s="56"/>
      <c r="M142" s="36"/>
    </row>
    <row r="143" spans="1:13" ht="17.25" customHeight="1">
      <c r="A143" s="7"/>
      <c r="B143" s="7"/>
      <c r="C143" s="12" t="s">
        <v>37</v>
      </c>
      <c r="D143" s="37">
        <v>0</v>
      </c>
      <c r="E143" s="37">
        <v>0</v>
      </c>
      <c r="F143" s="37">
        <f>SUM(J143)</f>
        <v>4000000</v>
      </c>
      <c r="G143" s="56">
        <f t="shared" si="5"/>
        <v>4000000</v>
      </c>
      <c r="H143" s="13" t="s">
        <v>38</v>
      </c>
      <c r="I143" s="19" t="s">
        <v>492</v>
      </c>
      <c r="J143" s="44">
        <f>2000000*2</f>
        <v>4000000</v>
      </c>
      <c r="K143" s="56"/>
      <c r="M143" s="36"/>
    </row>
    <row r="144" spans="1:13" ht="17.25" customHeight="1">
      <c r="A144" s="7"/>
      <c r="B144" s="6"/>
      <c r="C144" s="12" t="s">
        <v>85</v>
      </c>
      <c r="D144" s="37">
        <v>0</v>
      </c>
      <c r="E144" s="37">
        <v>0</v>
      </c>
      <c r="F144" s="37">
        <f>SUM(J144)</f>
        <v>2000000</v>
      </c>
      <c r="G144" s="56">
        <f t="shared" si="5"/>
        <v>2000000</v>
      </c>
      <c r="H144" s="13" t="s">
        <v>68</v>
      </c>
      <c r="I144" s="19" t="s">
        <v>220</v>
      </c>
      <c r="J144" s="44">
        <f>1000000*2</f>
        <v>2000000</v>
      </c>
      <c r="K144" s="56"/>
      <c r="M144" s="36"/>
    </row>
    <row r="145" spans="1:13" ht="17.25" customHeight="1">
      <c r="A145" s="7"/>
      <c r="B145" s="7" t="s">
        <v>515</v>
      </c>
      <c r="C145" s="6"/>
      <c r="D145" s="37">
        <f>SUM(D146:D157)</f>
        <v>0</v>
      </c>
      <c r="E145" s="37">
        <f>SUM(E146:E157)</f>
        <v>0</v>
      </c>
      <c r="F145" s="37">
        <f>SUM(F146:F157)</f>
        <v>20835000</v>
      </c>
      <c r="G145" s="37">
        <f>SUM(G146:G157)</f>
        <v>20835000</v>
      </c>
      <c r="H145" s="13"/>
      <c r="I145" s="19"/>
      <c r="J145" s="44"/>
      <c r="K145" s="37"/>
      <c r="M145" s="36"/>
    </row>
    <row r="146" spans="1:13" ht="17.25" customHeight="1">
      <c r="A146" s="7"/>
      <c r="B146" s="7" t="s">
        <v>53</v>
      </c>
      <c r="C146" s="18" t="s">
        <v>55</v>
      </c>
      <c r="D146" s="25">
        <v>0</v>
      </c>
      <c r="E146" s="25">
        <v>0</v>
      </c>
      <c r="F146" s="25">
        <f>SUM(J146:J148)</f>
        <v>4515000</v>
      </c>
      <c r="G146" s="59">
        <f>F146-D146</f>
        <v>4515000</v>
      </c>
      <c r="H146" s="15" t="s">
        <v>77</v>
      </c>
      <c r="I146" s="26" t="s">
        <v>516</v>
      </c>
      <c r="J146" s="47">
        <f>30000*35*3</f>
        <v>3150000</v>
      </c>
      <c r="K146" s="59"/>
      <c r="M146" s="36"/>
    </row>
    <row r="147" spans="1:13" ht="17.25" customHeight="1">
      <c r="A147" s="7"/>
      <c r="B147" s="7"/>
      <c r="C147" s="7"/>
      <c r="D147" s="25"/>
      <c r="E147" s="25"/>
      <c r="F147" s="25"/>
      <c r="G147" s="59"/>
      <c r="H147" s="10" t="s">
        <v>78</v>
      </c>
      <c r="I147" s="20" t="s">
        <v>517</v>
      </c>
      <c r="J147" s="45">
        <f>10000*35*3</f>
        <v>1050000</v>
      </c>
      <c r="K147" s="59"/>
      <c r="M147" s="36"/>
    </row>
    <row r="148" spans="1:13" ht="17.25" customHeight="1">
      <c r="A148" s="7"/>
      <c r="B148" s="7"/>
      <c r="C148" s="6"/>
      <c r="D148" s="37"/>
      <c r="E148" s="37"/>
      <c r="F148" s="37"/>
      <c r="G148" s="56"/>
      <c r="H148" s="8" t="s">
        <v>267</v>
      </c>
      <c r="I148" s="21" t="s">
        <v>518</v>
      </c>
      <c r="J148" s="46">
        <f>3000*35*3</f>
        <v>315000</v>
      </c>
      <c r="K148" s="56"/>
      <c r="M148" s="36"/>
    </row>
    <row r="149" spans="1:13" ht="17.25" customHeight="1">
      <c r="A149" s="7"/>
      <c r="B149" s="7"/>
      <c r="C149" s="12" t="s">
        <v>54</v>
      </c>
      <c r="D149" s="37">
        <v>0</v>
      </c>
      <c r="E149" s="37">
        <v>0</v>
      </c>
      <c r="F149" s="37">
        <f>SUM(J149)</f>
        <v>3000000</v>
      </c>
      <c r="G149" s="56">
        <f>F149-D149</f>
        <v>3000000</v>
      </c>
      <c r="H149" s="13" t="s">
        <v>137</v>
      </c>
      <c r="I149" s="19" t="s">
        <v>494</v>
      </c>
      <c r="J149" s="44">
        <f>1000000*3</f>
        <v>3000000</v>
      </c>
      <c r="K149" s="56"/>
      <c r="M149" s="36"/>
    </row>
    <row r="150" spans="1:13" ht="17.25" customHeight="1">
      <c r="A150" s="7"/>
      <c r="B150" s="7"/>
      <c r="C150" s="12" t="s">
        <v>58</v>
      </c>
      <c r="D150" s="37">
        <v>0</v>
      </c>
      <c r="E150" s="37">
        <v>0</v>
      </c>
      <c r="F150" s="37">
        <f>SUM(J150)</f>
        <v>600000</v>
      </c>
      <c r="G150" s="56">
        <f>F150-D150</f>
        <v>600000</v>
      </c>
      <c r="H150" s="13" t="s">
        <v>59</v>
      </c>
      <c r="I150" s="19" t="s">
        <v>658</v>
      </c>
      <c r="J150" s="44">
        <f>50000*4*3</f>
        <v>600000</v>
      </c>
      <c r="K150" s="56"/>
      <c r="M150" s="36"/>
    </row>
    <row r="151" spans="1:13" ht="17.25" customHeight="1">
      <c r="A151" s="7"/>
      <c r="B151" s="7"/>
      <c r="C151" s="12" t="s">
        <v>63</v>
      </c>
      <c r="D151" s="37">
        <v>0</v>
      </c>
      <c r="E151" s="37">
        <v>0</v>
      </c>
      <c r="F151" s="37">
        <f>SUM(J151)</f>
        <v>1500000</v>
      </c>
      <c r="G151" s="56">
        <f t="shared" ref="G151:G157" si="6">F151-D151</f>
        <v>1500000</v>
      </c>
      <c r="H151" s="13" t="s">
        <v>64</v>
      </c>
      <c r="I151" s="19"/>
      <c r="J151" s="44">
        <v>1500000</v>
      </c>
      <c r="K151" s="56"/>
      <c r="M151" s="36"/>
    </row>
    <row r="152" spans="1:13" ht="17.25" customHeight="1">
      <c r="A152" s="7"/>
      <c r="B152" s="7"/>
      <c r="C152" s="12" t="s">
        <v>45</v>
      </c>
      <c r="D152" s="37">
        <v>0</v>
      </c>
      <c r="E152" s="37">
        <v>0</v>
      </c>
      <c r="F152" s="37">
        <f>SUM(J152)</f>
        <v>1500000</v>
      </c>
      <c r="G152" s="56">
        <f t="shared" si="6"/>
        <v>1500000</v>
      </c>
      <c r="H152" s="13" t="s">
        <v>60</v>
      </c>
      <c r="I152" s="19"/>
      <c r="J152" s="44">
        <v>1500000</v>
      </c>
      <c r="K152" s="56"/>
      <c r="M152" s="36"/>
    </row>
    <row r="153" spans="1:13" ht="17.25" customHeight="1">
      <c r="A153" s="7"/>
      <c r="B153" s="7"/>
      <c r="C153" s="12" t="s">
        <v>61</v>
      </c>
      <c r="D153" s="37">
        <v>0</v>
      </c>
      <c r="E153" s="37">
        <v>0</v>
      </c>
      <c r="F153" s="37">
        <f>SUM(J153)</f>
        <v>1000000</v>
      </c>
      <c r="G153" s="59">
        <f t="shared" si="6"/>
        <v>1000000</v>
      </c>
      <c r="H153" s="13" t="s">
        <v>498</v>
      </c>
      <c r="I153" s="19"/>
      <c r="J153" s="44">
        <v>1000000</v>
      </c>
      <c r="K153" s="59"/>
      <c r="M153" s="36"/>
    </row>
    <row r="154" spans="1:13" ht="17.25" customHeight="1">
      <c r="A154" s="7"/>
      <c r="B154" s="7"/>
      <c r="C154" s="18" t="s">
        <v>35</v>
      </c>
      <c r="D154" s="25">
        <v>0</v>
      </c>
      <c r="E154" s="25">
        <v>0</v>
      </c>
      <c r="F154" s="53">
        <f>SUM(J154:J155)</f>
        <v>5720000</v>
      </c>
      <c r="G154" s="57">
        <f t="shared" si="6"/>
        <v>5720000</v>
      </c>
      <c r="H154" s="15" t="s">
        <v>478</v>
      </c>
      <c r="I154" s="26" t="s">
        <v>479</v>
      </c>
      <c r="J154" s="47">
        <f>660000*2</f>
        <v>1320000</v>
      </c>
      <c r="K154" s="57"/>
      <c r="M154" s="36"/>
    </row>
    <row r="155" spans="1:13" ht="17.25" customHeight="1">
      <c r="A155" s="7"/>
      <c r="B155" s="7"/>
      <c r="C155" s="6"/>
      <c r="D155" s="37"/>
      <c r="E155" s="37"/>
      <c r="F155" s="37"/>
      <c r="G155" s="56"/>
      <c r="H155" s="8" t="s">
        <v>198</v>
      </c>
      <c r="I155" s="21"/>
      <c r="J155" s="46">
        <v>4400000</v>
      </c>
      <c r="K155" s="56"/>
      <c r="M155" s="36"/>
    </row>
    <row r="156" spans="1:13" ht="17.25" customHeight="1">
      <c r="A156" s="7"/>
      <c r="B156" s="7"/>
      <c r="C156" s="12" t="s">
        <v>37</v>
      </c>
      <c r="D156" s="37">
        <v>0</v>
      </c>
      <c r="E156" s="37">
        <v>0</v>
      </c>
      <c r="F156" s="37">
        <f>SUM(J156)</f>
        <v>2000000</v>
      </c>
      <c r="G156" s="56">
        <f t="shared" si="6"/>
        <v>2000000</v>
      </c>
      <c r="H156" s="13" t="s">
        <v>38</v>
      </c>
      <c r="I156" s="19"/>
      <c r="J156" s="44">
        <v>2000000</v>
      </c>
      <c r="K156" s="56"/>
      <c r="M156" s="36"/>
    </row>
    <row r="157" spans="1:13" ht="17.25" customHeight="1">
      <c r="A157" s="6"/>
      <c r="B157" s="6"/>
      <c r="C157" s="12" t="s">
        <v>85</v>
      </c>
      <c r="D157" s="37">
        <v>0</v>
      </c>
      <c r="E157" s="37">
        <v>0</v>
      </c>
      <c r="F157" s="37">
        <f>SUM(J157)</f>
        <v>1000000</v>
      </c>
      <c r="G157" s="56">
        <f t="shared" si="6"/>
        <v>1000000</v>
      </c>
      <c r="H157" s="13" t="s">
        <v>86</v>
      </c>
      <c r="I157" s="19"/>
      <c r="J157" s="44">
        <v>1000000</v>
      </c>
      <c r="K157" s="56"/>
      <c r="M157" s="36"/>
    </row>
    <row r="158" spans="1:13" s="22" customFormat="1" ht="17.25" customHeight="1">
      <c r="A158" s="7" t="s">
        <v>51</v>
      </c>
      <c r="B158" s="7" t="s">
        <v>341</v>
      </c>
      <c r="C158" s="6"/>
      <c r="D158" s="37">
        <v>35290000</v>
      </c>
      <c r="E158" s="35">
        <f>SUM(E159:E186)</f>
        <v>41046832</v>
      </c>
      <c r="F158" s="35">
        <f>SUM(F159:F186)</f>
        <v>77119000</v>
      </c>
      <c r="G158" s="58">
        <f>F158-D158</f>
        <v>41829000</v>
      </c>
      <c r="H158" s="13"/>
      <c r="I158" s="14"/>
      <c r="J158" s="42"/>
      <c r="K158" s="58"/>
      <c r="L158" s="1"/>
      <c r="M158" s="36"/>
    </row>
    <row r="159" spans="1:13" s="22" customFormat="1" ht="17.25" customHeight="1">
      <c r="A159" s="7"/>
      <c r="B159" s="7" t="s">
        <v>90</v>
      </c>
      <c r="C159" s="7" t="s">
        <v>71</v>
      </c>
      <c r="D159" s="25">
        <v>8460000</v>
      </c>
      <c r="E159" s="25">
        <v>8960000</v>
      </c>
      <c r="F159" s="25">
        <f>SUM(J159:J165)</f>
        <v>10885000</v>
      </c>
      <c r="G159" s="59">
        <f>F159-D159</f>
        <v>2425000</v>
      </c>
      <c r="H159" s="10" t="s">
        <v>74</v>
      </c>
      <c r="I159" s="11" t="s">
        <v>520</v>
      </c>
      <c r="J159" s="41">
        <v>3000000</v>
      </c>
      <c r="K159" s="59"/>
      <c r="L159" s="1"/>
      <c r="M159" s="36"/>
    </row>
    <row r="160" spans="1:13" s="22" customFormat="1" ht="17.25" customHeight="1">
      <c r="A160" s="7"/>
      <c r="B160" s="7"/>
      <c r="C160" s="7"/>
      <c r="D160" s="25"/>
      <c r="E160" s="25"/>
      <c r="F160" s="25"/>
      <c r="G160" s="59"/>
      <c r="H160" s="10"/>
      <c r="I160" s="11" t="s">
        <v>519</v>
      </c>
      <c r="J160" s="41">
        <v>2000000</v>
      </c>
      <c r="K160" s="59"/>
      <c r="L160" s="1"/>
      <c r="M160" s="36"/>
    </row>
    <row r="161" spans="1:13" s="22" customFormat="1" ht="17.25" customHeight="1">
      <c r="A161" s="7"/>
      <c r="B161" s="7"/>
      <c r="C161" s="7"/>
      <c r="D161" s="25"/>
      <c r="E161" s="25"/>
      <c r="F161" s="25"/>
      <c r="G161" s="59"/>
      <c r="H161" s="10" t="s">
        <v>91</v>
      </c>
      <c r="I161" s="11" t="s">
        <v>521</v>
      </c>
      <c r="J161" s="41">
        <f>110000*10</f>
        <v>1100000</v>
      </c>
      <c r="K161" s="59"/>
      <c r="L161" s="1"/>
      <c r="M161" s="36"/>
    </row>
    <row r="162" spans="1:13" s="22" customFormat="1" ht="17.25" customHeight="1">
      <c r="A162" s="7"/>
      <c r="B162" s="7"/>
      <c r="C162" s="7"/>
      <c r="D162" s="25"/>
      <c r="E162" s="25"/>
      <c r="F162" s="25"/>
      <c r="G162" s="59"/>
      <c r="H162" s="10"/>
      <c r="I162" s="11" t="s">
        <v>522</v>
      </c>
      <c r="J162" s="41">
        <f>93500*10</f>
        <v>935000</v>
      </c>
      <c r="K162" s="59"/>
      <c r="L162" s="1"/>
      <c r="M162" s="36"/>
    </row>
    <row r="163" spans="1:13" s="22" customFormat="1" ht="17.25" customHeight="1">
      <c r="A163" s="7"/>
      <c r="B163" s="7"/>
      <c r="C163" s="7"/>
      <c r="D163" s="25"/>
      <c r="E163" s="25"/>
      <c r="F163" s="25"/>
      <c r="G163" s="59"/>
      <c r="H163" s="10"/>
      <c r="I163" s="11" t="s">
        <v>523</v>
      </c>
      <c r="J163" s="41">
        <f>77000*20</f>
        <v>1540000</v>
      </c>
      <c r="K163" s="59"/>
      <c r="L163" s="1"/>
      <c r="M163" s="36"/>
    </row>
    <row r="164" spans="1:13" s="22" customFormat="1" ht="17.25" customHeight="1">
      <c r="A164" s="7"/>
      <c r="B164" s="7"/>
      <c r="C164" s="7"/>
      <c r="D164" s="25"/>
      <c r="E164" s="25"/>
      <c r="F164" s="25"/>
      <c r="G164" s="59"/>
      <c r="H164" s="10" t="s">
        <v>92</v>
      </c>
      <c r="I164" s="11" t="s">
        <v>524</v>
      </c>
      <c r="J164" s="41">
        <f>16500*120</f>
        <v>1980000</v>
      </c>
      <c r="K164" s="59"/>
      <c r="L164" s="1"/>
      <c r="M164" s="36"/>
    </row>
    <row r="165" spans="1:13" s="22" customFormat="1" ht="17.25" customHeight="1">
      <c r="A165" s="7"/>
      <c r="B165" s="7"/>
      <c r="C165" s="6"/>
      <c r="D165" s="37"/>
      <c r="E165" s="37"/>
      <c r="F165" s="37"/>
      <c r="G165" s="56"/>
      <c r="H165" s="62" t="s">
        <v>525</v>
      </c>
      <c r="I165" s="9" t="s">
        <v>526</v>
      </c>
      <c r="J165" s="40">
        <f>165000*2</f>
        <v>330000</v>
      </c>
      <c r="K165" s="56"/>
      <c r="L165" s="1"/>
      <c r="M165" s="36"/>
    </row>
    <row r="166" spans="1:13" s="22" customFormat="1" ht="17.25" customHeight="1">
      <c r="A166" s="7"/>
      <c r="B166" s="7"/>
      <c r="C166" s="7" t="s">
        <v>55</v>
      </c>
      <c r="D166" s="25">
        <v>8330000</v>
      </c>
      <c r="E166" s="25">
        <v>6447210</v>
      </c>
      <c r="F166" s="25">
        <f>SUM(J166:J171)</f>
        <v>10315000</v>
      </c>
      <c r="G166" s="59">
        <f>F166-D166</f>
        <v>1985000</v>
      </c>
      <c r="H166" s="10" t="s">
        <v>77</v>
      </c>
      <c r="I166" s="11" t="s">
        <v>200</v>
      </c>
      <c r="J166" s="41">
        <f>30000*15*7</f>
        <v>3150000</v>
      </c>
      <c r="K166" s="59"/>
      <c r="L166" s="1"/>
      <c r="M166" s="36"/>
    </row>
    <row r="167" spans="1:13" s="22" customFormat="1" ht="17.25" customHeight="1">
      <c r="A167" s="7"/>
      <c r="B167" s="7"/>
      <c r="C167" s="7"/>
      <c r="D167" s="25"/>
      <c r="E167" s="25"/>
      <c r="F167" s="25"/>
      <c r="G167" s="59"/>
      <c r="H167" s="10" t="s">
        <v>78</v>
      </c>
      <c r="I167" s="11" t="s">
        <v>201</v>
      </c>
      <c r="J167" s="41">
        <f>15000*15*7</f>
        <v>1575000</v>
      </c>
      <c r="K167" s="59"/>
      <c r="L167" s="1"/>
      <c r="M167" s="36"/>
    </row>
    <row r="168" spans="1:13" s="22" customFormat="1" ht="17.25" customHeight="1">
      <c r="A168" s="7"/>
      <c r="B168" s="7"/>
      <c r="C168" s="7"/>
      <c r="D168" s="25"/>
      <c r="E168" s="25"/>
      <c r="F168" s="25"/>
      <c r="G168" s="59"/>
      <c r="H168" s="10" t="s">
        <v>56</v>
      </c>
      <c r="I168" s="11" t="s">
        <v>527</v>
      </c>
      <c r="J168" s="41">
        <f>150000*15</f>
        <v>2250000</v>
      </c>
      <c r="K168" s="59"/>
      <c r="L168" s="1"/>
      <c r="M168" s="36"/>
    </row>
    <row r="169" spans="1:13" s="22" customFormat="1" ht="17.25" customHeight="1">
      <c r="A169" s="7"/>
      <c r="B169" s="7"/>
      <c r="C169" s="7"/>
      <c r="D169" s="25"/>
      <c r="E169" s="25"/>
      <c r="F169" s="25"/>
      <c r="G169" s="59"/>
      <c r="H169" s="10" t="s">
        <v>57</v>
      </c>
      <c r="I169" s="11" t="s">
        <v>661</v>
      </c>
      <c r="J169" s="41">
        <f>40000*8*7</f>
        <v>2240000</v>
      </c>
      <c r="K169" s="59"/>
      <c r="L169" s="1"/>
      <c r="M169" s="36"/>
    </row>
    <row r="170" spans="1:13" s="22" customFormat="1" ht="17.25" customHeight="1">
      <c r="A170" s="7"/>
      <c r="B170" s="7"/>
      <c r="C170" s="7"/>
      <c r="D170" s="25"/>
      <c r="E170" s="25"/>
      <c r="F170" s="25"/>
      <c r="G170" s="59"/>
      <c r="H170" s="10" t="s">
        <v>461</v>
      </c>
      <c r="I170" s="11"/>
      <c r="J170" s="41">
        <v>800000</v>
      </c>
      <c r="K170" s="59"/>
      <c r="L170" s="1"/>
      <c r="M170" s="36"/>
    </row>
    <row r="171" spans="1:13" s="22" customFormat="1" ht="17.25" customHeight="1">
      <c r="A171" s="7"/>
      <c r="B171" s="7"/>
      <c r="C171" s="6"/>
      <c r="D171" s="37"/>
      <c r="E171" s="37"/>
      <c r="F171" s="37"/>
      <c r="G171" s="56"/>
      <c r="H171" s="8" t="s">
        <v>93</v>
      </c>
      <c r="I171" s="9"/>
      <c r="J171" s="40">
        <v>300000</v>
      </c>
      <c r="K171" s="56"/>
      <c r="L171" s="1"/>
      <c r="M171" s="36"/>
    </row>
    <row r="172" spans="1:13" s="22" customFormat="1" ht="17.25" customHeight="1">
      <c r="A172" s="7"/>
      <c r="B172" s="7"/>
      <c r="C172" s="7" t="s">
        <v>16</v>
      </c>
      <c r="D172" s="25">
        <v>2500000</v>
      </c>
      <c r="E172" s="25">
        <v>4559500</v>
      </c>
      <c r="F172" s="25">
        <f>SUM(J172:J174)</f>
        <v>5759000</v>
      </c>
      <c r="G172" s="59">
        <f>F172-D172</f>
        <v>3259000</v>
      </c>
      <c r="H172" s="10" t="s">
        <v>94</v>
      </c>
      <c r="I172" s="11" t="s">
        <v>528</v>
      </c>
      <c r="J172" s="41">
        <f>7080*700</f>
        <v>4956000</v>
      </c>
      <c r="K172" s="59"/>
      <c r="L172" s="1"/>
      <c r="M172" s="36"/>
    </row>
    <row r="173" spans="1:13" s="22" customFormat="1" ht="17.25" customHeight="1">
      <c r="A173" s="7"/>
      <c r="B173" s="7"/>
      <c r="C173" s="7"/>
      <c r="D173" s="25"/>
      <c r="E173" s="25"/>
      <c r="F173" s="25"/>
      <c r="G173" s="59"/>
      <c r="H173" s="10" t="s">
        <v>529</v>
      </c>
      <c r="I173" s="11" t="s">
        <v>530</v>
      </c>
      <c r="J173" s="41">
        <f>2200*200</f>
        <v>440000</v>
      </c>
      <c r="K173" s="59"/>
      <c r="L173" s="1"/>
      <c r="M173" s="36"/>
    </row>
    <row r="174" spans="1:13" s="22" customFormat="1" ht="17.25" customHeight="1">
      <c r="A174" s="7"/>
      <c r="B174" s="7"/>
      <c r="C174" s="6"/>
      <c r="D174" s="37"/>
      <c r="E174" s="37"/>
      <c r="F174" s="37"/>
      <c r="G174" s="56"/>
      <c r="H174" s="8" t="s">
        <v>531</v>
      </c>
      <c r="I174" s="9" t="s">
        <v>532</v>
      </c>
      <c r="J174" s="40">
        <f>3630*100</f>
        <v>363000</v>
      </c>
      <c r="K174" s="56"/>
      <c r="L174" s="1"/>
      <c r="M174" s="36"/>
    </row>
    <row r="175" spans="1:13" s="22" customFormat="1" ht="17.25" customHeight="1">
      <c r="A175" s="65"/>
      <c r="B175" s="7"/>
      <c r="C175" s="6" t="s">
        <v>58</v>
      </c>
      <c r="D175" s="37">
        <v>1500000</v>
      </c>
      <c r="E175" s="37">
        <v>2106900</v>
      </c>
      <c r="F175" s="37">
        <f>J175</f>
        <v>3500000</v>
      </c>
      <c r="G175" s="56">
        <f>F175-D175</f>
        <v>2000000</v>
      </c>
      <c r="H175" s="8" t="s">
        <v>59</v>
      </c>
      <c r="I175" s="9" t="s">
        <v>662</v>
      </c>
      <c r="J175" s="40">
        <f>50000*10*7</f>
        <v>3500000</v>
      </c>
      <c r="K175" s="56"/>
      <c r="L175" s="1"/>
      <c r="M175" s="36"/>
    </row>
    <row r="176" spans="1:13" s="22" customFormat="1" ht="17.25" customHeight="1">
      <c r="A176" s="65"/>
      <c r="B176" s="7"/>
      <c r="C176" s="6" t="s">
        <v>63</v>
      </c>
      <c r="D176" s="37">
        <v>1000000</v>
      </c>
      <c r="E176" s="37">
        <v>1111000</v>
      </c>
      <c r="F176" s="37">
        <f>J176</f>
        <v>3000000</v>
      </c>
      <c r="G176" s="56">
        <f t="shared" ref="G176:G185" si="7">F176-D176</f>
        <v>2000000</v>
      </c>
      <c r="H176" s="8" t="s">
        <v>80</v>
      </c>
      <c r="I176" s="9"/>
      <c r="J176" s="40">
        <v>3000000</v>
      </c>
      <c r="K176" s="56"/>
      <c r="L176" s="1"/>
      <c r="M176" s="36"/>
    </row>
    <row r="177" spans="1:13" s="22" customFormat="1" ht="17.25" customHeight="1">
      <c r="A177" s="7"/>
      <c r="B177" s="7"/>
      <c r="C177" s="6" t="s">
        <v>45</v>
      </c>
      <c r="D177" s="37">
        <v>1000000</v>
      </c>
      <c r="E177" s="37">
        <v>1930000</v>
      </c>
      <c r="F177" s="37">
        <f>SUM(J177)</f>
        <v>3000000</v>
      </c>
      <c r="G177" s="56">
        <f>F177-D177</f>
        <v>2000000</v>
      </c>
      <c r="H177" s="8" t="s">
        <v>60</v>
      </c>
      <c r="I177" s="9"/>
      <c r="J177" s="40">
        <v>3000000</v>
      </c>
      <c r="K177" s="56"/>
      <c r="L177" s="1"/>
      <c r="M177" s="36"/>
    </row>
    <row r="178" spans="1:13" s="22" customFormat="1" ht="17.25" customHeight="1">
      <c r="A178" s="65"/>
      <c r="B178" s="7"/>
      <c r="C178" s="12" t="s">
        <v>61</v>
      </c>
      <c r="D178" s="35">
        <v>1000000</v>
      </c>
      <c r="E178" s="35">
        <v>1788222</v>
      </c>
      <c r="F178" s="35">
        <f>SUM(J178)</f>
        <v>5000000</v>
      </c>
      <c r="G178" s="58">
        <f t="shared" si="7"/>
        <v>4000000</v>
      </c>
      <c r="H178" s="13" t="s">
        <v>81</v>
      </c>
      <c r="I178" s="14"/>
      <c r="J178" s="42">
        <v>5000000</v>
      </c>
      <c r="K178" s="58"/>
      <c r="L178" s="1"/>
      <c r="M178" s="36"/>
    </row>
    <row r="179" spans="1:13" s="22" customFormat="1" ht="17.25" customHeight="1">
      <c r="A179" s="65"/>
      <c r="B179" s="7"/>
      <c r="C179" s="7" t="s">
        <v>35</v>
      </c>
      <c r="D179" s="25">
        <v>1500000</v>
      </c>
      <c r="E179" s="25">
        <v>882000</v>
      </c>
      <c r="F179" s="25">
        <f>SUM(J179:J181)</f>
        <v>11660000</v>
      </c>
      <c r="G179" s="59">
        <f>F179-D179</f>
        <v>10160000</v>
      </c>
      <c r="H179" s="10" t="s">
        <v>478</v>
      </c>
      <c r="I179" s="11" t="s">
        <v>514</v>
      </c>
      <c r="J179" s="41">
        <f>2200000*2</f>
        <v>4400000</v>
      </c>
      <c r="K179" s="59"/>
      <c r="L179" s="1"/>
      <c r="M179" s="36"/>
    </row>
    <row r="180" spans="1:13" s="22" customFormat="1" ht="17.25" customHeight="1">
      <c r="A180" s="65"/>
      <c r="B180" s="7"/>
      <c r="C180" s="7"/>
      <c r="D180" s="25"/>
      <c r="E180" s="25"/>
      <c r="F180" s="25"/>
      <c r="G180" s="59"/>
      <c r="H180" s="10" t="s">
        <v>533</v>
      </c>
      <c r="I180" s="11" t="s">
        <v>534</v>
      </c>
      <c r="J180" s="41">
        <f>16500*40</f>
        <v>660000</v>
      </c>
      <c r="K180" s="59"/>
      <c r="L180" s="1"/>
      <c r="M180" s="36"/>
    </row>
    <row r="181" spans="1:13" s="22" customFormat="1" ht="17.25" customHeight="1">
      <c r="A181" s="65"/>
      <c r="B181" s="7"/>
      <c r="C181" s="6"/>
      <c r="D181" s="37"/>
      <c r="E181" s="37"/>
      <c r="F181" s="37"/>
      <c r="G181" s="56"/>
      <c r="H181" s="8" t="s">
        <v>198</v>
      </c>
      <c r="I181" s="9"/>
      <c r="J181" s="40">
        <f>3300000*2</f>
        <v>6600000</v>
      </c>
      <c r="K181" s="56"/>
      <c r="L181" s="1"/>
      <c r="M181" s="36"/>
    </row>
    <row r="182" spans="1:13" s="22" customFormat="1" ht="17.25" customHeight="1">
      <c r="A182" s="65"/>
      <c r="B182" s="7"/>
      <c r="C182" s="6" t="s">
        <v>37</v>
      </c>
      <c r="D182" s="37">
        <v>0</v>
      </c>
      <c r="E182" s="37"/>
      <c r="F182" s="37">
        <f>SUM(J182)</f>
        <v>2000000</v>
      </c>
      <c r="G182" s="56">
        <f>F182-D182</f>
        <v>2000000</v>
      </c>
      <c r="H182" s="8" t="s">
        <v>38</v>
      </c>
      <c r="I182" s="9"/>
      <c r="J182" s="40">
        <v>2000000</v>
      </c>
      <c r="K182" s="56"/>
      <c r="L182" s="1"/>
      <c r="M182" s="36"/>
    </row>
    <row r="183" spans="1:13" s="22" customFormat="1" ht="17.25" customHeight="1">
      <c r="A183" s="7"/>
      <c r="B183" s="7"/>
      <c r="C183" s="12" t="s">
        <v>65</v>
      </c>
      <c r="D183" s="35">
        <v>1000000</v>
      </c>
      <c r="E183" s="35">
        <v>473000</v>
      </c>
      <c r="F183" s="35">
        <f>SUM(J183:J183)</f>
        <v>0</v>
      </c>
      <c r="G183" s="58">
        <f t="shared" si="7"/>
        <v>-1000000</v>
      </c>
      <c r="H183" s="13"/>
      <c r="I183" s="14"/>
      <c r="J183" s="42"/>
      <c r="K183" s="58"/>
      <c r="L183" s="1"/>
      <c r="M183" s="36"/>
    </row>
    <row r="184" spans="1:13" s="22" customFormat="1" ht="17.25" customHeight="1">
      <c r="A184" s="7"/>
      <c r="B184" s="73"/>
      <c r="C184" s="7" t="s">
        <v>82</v>
      </c>
      <c r="D184" s="53">
        <v>4000000</v>
      </c>
      <c r="E184" s="53">
        <v>5500000</v>
      </c>
      <c r="F184" s="53">
        <f>SUM(J184:J184)</f>
        <v>5000000</v>
      </c>
      <c r="G184" s="57">
        <f t="shared" si="7"/>
        <v>1000000</v>
      </c>
      <c r="H184" s="15" t="s">
        <v>83</v>
      </c>
      <c r="I184" s="16"/>
      <c r="J184" s="43">
        <v>5000000</v>
      </c>
      <c r="K184" s="57"/>
      <c r="L184" s="1"/>
      <c r="M184" s="36"/>
    </row>
    <row r="185" spans="1:13" s="22" customFormat="1" ht="17.25" customHeight="1">
      <c r="A185" s="7"/>
      <c r="B185" s="7"/>
      <c r="C185" s="18" t="s">
        <v>84</v>
      </c>
      <c r="D185" s="53">
        <v>0</v>
      </c>
      <c r="E185" s="53">
        <v>5100000</v>
      </c>
      <c r="F185" s="53">
        <f>SUM(J185:J185)</f>
        <v>15000000</v>
      </c>
      <c r="G185" s="57">
        <f t="shared" si="7"/>
        <v>15000000</v>
      </c>
      <c r="H185" s="15" t="s">
        <v>535</v>
      </c>
      <c r="I185" s="16" t="s">
        <v>536</v>
      </c>
      <c r="J185" s="43">
        <f>500000*30</f>
        <v>15000000</v>
      </c>
      <c r="K185" s="57"/>
      <c r="L185" s="1"/>
      <c r="M185" s="36"/>
    </row>
    <row r="186" spans="1:13" s="22" customFormat="1" ht="17.25" customHeight="1">
      <c r="A186" s="6"/>
      <c r="B186" s="6"/>
      <c r="C186" s="12" t="s">
        <v>85</v>
      </c>
      <c r="D186" s="35">
        <v>5000000</v>
      </c>
      <c r="E186" s="35">
        <v>2189000</v>
      </c>
      <c r="F186" s="35">
        <f>SUM(J186)</f>
        <v>2000000</v>
      </c>
      <c r="G186" s="58">
        <f>F186-D186</f>
        <v>-3000000</v>
      </c>
      <c r="H186" s="13" t="s">
        <v>86</v>
      </c>
      <c r="I186" s="14"/>
      <c r="J186" s="42">
        <v>2000000</v>
      </c>
      <c r="K186" s="58"/>
      <c r="L186" s="1"/>
      <c r="M186" s="36"/>
    </row>
    <row r="187" spans="1:13" ht="16.5" customHeight="1">
      <c r="A187" s="7" t="s">
        <v>51</v>
      </c>
      <c r="B187" s="7" t="s">
        <v>342</v>
      </c>
      <c r="C187" s="6"/>
      <c r="D187" s="37">
        <v>40700000</v>
      </c>
      <c r="E187" s="37">
        <f>SUM(E188:E217)</f>
        <v>43806476</v>
      </c>
      <c r="F187" s="37">
        <f>SUM(F188:F217)</f>
        <v>71533000</v>
      </c>
      <c r="G187" s="56">
        <f>F187-D187</f>
        <v>30833000</v>
      </c>
      <c r="H187" s="13"/>
      <c r="I187" s="14"/>
      <c r="J187" s="42"/>
      <c r="K187" s="56"/>
      <c r="M187" s="36"/>
    </row>
    <row r="188" spans="1:13" s="22" customFormat="1" ht="16.5" customHeight="1">
      <c r="A188" s="7"/>
      <c r="B188" s="7" t="s">
        <v>70</v>
      </c>
      <c r="C188" s="7" t="s">
        <v>71</v>
      </c>
      <c r="D188" s="25">
        <v>15980000</v>
      </c>
      <c r="E188" s="25">
        <v>16970000</v>
      </c>
      <c r="F188" s="25">
        <f>SUM(J188:J196)</f>
        <v>19060000</v>
      </c>
      <c r="G188" s="59">
        <f>F188-D188</f>
        <v>3080000</v>
      </c>
      <c r="H188" s="10" t="s">
        <v>72</v>
      </c>
      <c r="I188" s="11" t="s">
        <v>73</v>
      </c>
      <c r="J188" s="41">
        <v>6000000</v>
      </c>
      <c r="K188" s="59"/>
      <c r="L188" s="1"/>
      <c r="M188" s="36"/>
    </row>
    <row r="189" spans="1:13" s="22" customFormat="1" ht="16.5" customHeight="1">
      <c r="A189" s="7"/>
      <c r="B189" s="7"/>
      <c r="C189" s="7"/>
      <c r="D189" s="25"/>
      <c r="E189" s="25"/>
      <c r="F189" s="25"/>
      <c r="G189" s="59"/>
      <c r="H189" s="10" t="s">
        <v>74</v>
      </c>
      <c r="I189" s="11" t="s">
        <v>203</v>
      </c>
      <c r="J189" s="41">
        <v>5000000</v>
      </c>
      <c r="K189" s="59"/>
      <c r="L189" s="1"/>
      <c r="M189" s="36"/>
    </row>
    <row r="190" spans="1:13" s="22" customFormat="1" ht="16.5" customHeight="1">
      <c r="A190" s="74"/>
      <c r="B190" s="7"/>
      <c r="C190" s="7"/>
      <c r="D190" s="25"/>
      <c r="E190" s="25"/>
      <c r="F190" s="25"/>
      <c r="G190" s="59"/>
      <c r="H190" s="10"/>
      <c r="I190" s="11" t="s">
        <v>204</v>
      </c>
      <c r="J190" s="41">
        <v>3000000</v>
      </c>
      <c r="K190" s="59"/>
      <c r="L190" s="1"/>
      <c r="M190" s="36"/>
    </row>
    <row r="191" spans="1:13" s="22" customFormat="1" ht="16.5" customHeight="1">
      <c r="A191" s="7"/>
      <c r="B191" s="7"/>
      <c r="C191" s="7"/>
      <c r="D191" s="25"/>
      <c r="E191" s="25"/>
      <c r="F191" s="25"/>
      <c r="G191" s="59"/>
      <c r="H191" s="10" t="s">
        <v>75</v>
      </c>
      <c r="I191" s="11" t="s">
        <v>537</v>
      </c>
      <c r="J191" s="41">
        <f>220000+165000+110000</f>
        <v>495000</v>
      </c>
      <c r="K191" s="59"/>
      <c r="L191" s="1"/>
      <c r="M191" s="36"/>
    </row>
    <row r="192" spans="1:13" s="22" customFormat="1" ht="16.5" customHeight="1">
      <c r="A192" s="74"/>
      <c r="B192" s="7"/>
      <c r="C192" s="7"/>
      <c r="D192" s="25"/>
      <c r="E192" s="25"/>
      <c r="F192" s="25"/>
      <c r="G192" s="59"/>
      <c r="H192" s="10" t="s">
        <v>76</v>
      </c>
      <c r="I192" s="11" t="s">
        <v>538</v>
      </c>
      <c r="J192" s="41">
        <f>110000*10</f>
        <v>1100000</v>
      </c>
      <c r="K192" s="59"/>
      <c r="L192" s="1"/>
      <c r="M192" s="36"/>
    </row>
    <row r="193" spans="1:13" s="22" customFormat="1" ht="16.5" customHeight="1">
      <c r="A193" s="74"/>
      <c r="B193" s="7"/>
      <c r="C193" s="7"/>
      <c r="D193" s="25"/>
      <c r="E193" s="25"/>
      <c r="F193" s="25"/>
      <c r="G193" s="59"/>
      <c r="H193" s="10"/>
      <c r="I193" s="11" t="s">
        <v>539</v>
      </c>
      <c r="J193" s="41">
        <f>93500*10</f>
        <v>935000</v>
      </c>
      <c r="K193" s="59"/>
      <c r="L193" s="1"/>
      <c r="M193" s="36"/>
    </row>
    <row r="194" spans="1:13" s="22" customFormat="1" ht="16.5" customHeight="1">
      <c r="A194" s="7"/>
      <c r="B194" s="7"/>
      <c r="C194" s="7"/>
      <c r="D194" s="25"/>
      <c r="E194" s="25"/>
      <c r="F194" s="25"/>
      <c r="G194" s="59"/>
      <c r="H194" s="10"/>
      <c r="I194" s="11" t="s">
        <v>540</v>
      </c>
      <c r="J194" s="41">
        <f>77000*20</f>
        <v>1540000</v>
      </c>
      <c r="K194" s="59"/>
      <c r="L194" s="1"/>
      <c r="M194" s="36"/>
    </row>
    <row r="195" spans="1:13" s="22" customFormat="1" ht="16.5" customHeight="1">
      <c r="A195" s="7"/>
      <c r="B195" s="7"/>
      <c r="C195" s="7"/>
      <c r="D195" s="25"/>
      <c r="E195" s="25"/>
      <c r="F195" s="25"/>
      <c r="G195" s="59"/>
      <c r="H195" s="10" t="s">
        <v>541</v>
      </c>
      <c r="I195" s="11" t="s">
        <v>534</v>
      </c>
      <c r="J195" s="41">
        <f>16500*40</f>
        <v>660000</v>
      </c>
      <c r="K195" s="59"/>
      <c r="L195" s="1"/>
      <c r="M195" s="36"/>
    </row>
    <row r="196" spans="1:13" s="22" customFormat="1" ht="16.5" customHeight="1">
      <c r="A196" s="7"/>
      <c r="B196" s="7"/>
      <c r="C196" s="6"/>
      <c r="D196" s="37"/>
      <c r="E196" s="37"/>
      <c r="F196" s="37"/>
      <c r="G196" s="56"/>
      <c r="H196" s="8" t="s">
        <v>525</v>
      </c>
      <c r="I196" s="9" t="s">
        <v>526</v>
      </c>
      <c r="J196" s="40">
        <f>165000*2</f>
        <v>330000</v>
      </c>
      <c r="K196" s="56"/>
      <c r="L196" s="1"/>
      <c r="M196" s="36"/>
    </row>
    <row r="197" spans="1:13" s="22" customFormat="1" ht="16.5" customHeight="1">
      <c r="A197" s="7"/>
      <c r="B197" s="7"/>
      <c r="C197" s="7" t="s">
        <v>55</v>
      </c>
      <c r="D197" s="25">
        <v>6720000</v>
      </c>
      <c r="E197" s="25">
        <v>4870000</v>
      </c>
      <c r="F197" s="25">
        <f>SUM(J197:J202)</f>
        <v>7820000</v>
      </c>
      <c r="G197" s="59">
        <f>F197-D197</f>
        <v>1100000</v>
      </c>
      <c r="H197" s="10" t="s">
        <v>77</v>
      </c>
      <c r="I197" s="11" t="s">
        <v>205</v>
      </c>
      <c r="J197" s="41">
        <f>30000*15*6</f>
        <v>2700000</v>
      </c>
      <c r="K197" s="59"/>
      <c r="L197" s="1"/>
      <c r="M197" s="36"/>
    </row>
    <row r="198" spans="1:13" s="22" customFormat="1" ht="16.5" customHeight="1">
      <c r="A198" s="7"/>
      <c r="B198" s="7"/>
      <c r="C198" s="7"/>
      <c r="D198" s="25"/>
      <c r="E198" s="25"/>
      <c r="F198" s="25"/>
      <c r="G198" s="59"/>
      <c r="H198" s="10" t="s">
        <v>78</v>
      </c>
      <c r="I198" s="11" t="s">
        <v>206</v>
      </c>
      <c r="J198" s="41">
        <f>15000*15*6</f>
        <v>1350000</v>
      </c>
      <c r="K198" s="59"/>
      <c r="L198" s="1"/>
      <c r="M198" s="36"/>
    </row>
    <row r="199" spans="1:13" s="22" customFormat="1" ht="16.5" customHeight="1">
      <c r="A199" s="7"/>
      <c r="B199" s="7"/>
      <c r="C199" s="7"/>
      <c r="D199" s="25"/>
      <c r="E199" s="25"/>
      <c r="F199" s="25"/>
      <c r="G199" s="59"/>
      <c r="H199" s="10" t="s">
        <v>56</v>
      </c>
      <c r="I199" s="11" t="s">
        <v>202</v>
      </c>
      <c r="J199" s="41">
        <f>50000*15</f>
        <v>750000</v>
      </c>
      <c r="K199" s="59"/>
      <c r="L199" s="1"/>
      <c r="M199" s="36"/>
    </row>
    <row r="200" spans="1:13" s="22" customFormat="1" ht="16.5" customHeight="1">
      <c r="A200" s="7"/>
      <c r="B200" s="7"/>
      <c r="C200" s="7"/>
      <c r="D200" s="25"/>
      <c r="E200" s="25"/>
      <c r="F200" s="25"/>
      <c r="G200" s="59"/>
      <c r="H200" s="10" t="s">
        <v>210</v>
      </c>
      <c r="I200" s="11" t="s">
        <v>207</v>
      </c>
      <c r="J200" s="41">
        <f>40000*8*6</f>
        <v>1920000</v>
      </c>
      <c r="K200" s="59"/>
      <c r="L200" s="1"/>
      <c r="M200" s="36"/>
    </row>
    <row r="201" spans="1:13" s="22" customFormat="1" ht="16.5" customHeight="1">
      <c r="A201" s="7"/>
      <c r="B201" s="7"/>
      <c r="C201" s="7"/>
      <c r="D201" s="25"/>
      <c r="E201" s="25"/>
      <c r="F201" s="25"/>
      <c r="G201" s="59"/>
      <c r="H201" s="10" t="s">
        <v>461</v>
      </c>
      <c r="I201" s="11"/>
      <c r="J201" s="41">
        <v>800000</v>
      </c>
      <c r="K201" s="59"/>
      <c r="L201" s="1"/>
      <c r="M201" s="36"/>
    </row>
    <row r="202" spans="1:13" s="22" customFormat="1" ht="16.5" customHeight="1">
      <c r="A202" s="7"/>
      <c r="B202" s="7"/>
      <c r="C202" s="6"/>
      <c r="D202" s="37"/>
      <c r="E202" s="37"/>
      <c r="F202" s="37"/>
      <c r="G202" s="56"/>
      <c r="H202" s="8" t="s">
        <v>93</v>
      </c>
      <c r="I202" s="9"/>
      <c r="J202" s="40">
        <v>300000</v>
      </c>
      <c r="K202" s="56"/>
      <c r="L202" s="1"/>
      <c r="M202" s="36"/>
    </row>
    <row r="203" spans="1:13" s="22" customFormat="1" ht="16.5" customHeight="1">
      <c r="A203" s="7"/>
      <c r="B203" s="7"/>
      <c r="C203" s="7" t="s">
        <v>16</v>
      </c>
      <c r="D203" s="25">
        <v>2300000</v>
      </c>
      <c r="E203" s="25">
        <v>4118950</v>
      </c>
      <c r="F203" s="25">
        <f>SUM(J203:J205)</f>
        <v>5203000</v>
      </c>
      <c r="G203" s="59">
        <f>F203-D203</f>
        <v>2903000</v>
      </c>
      <c r="H203" s="10" t="s">
        <v>268</v>
      </c>
      <c r="I203" s="11" t="s">
        <v>542</v>
      </c>
      <c r="J203" s="41">
        <f>11000*400</f>
        <v>4400000</v>
      </c>
      <c r="K203" s="59"/>
      <c r="L203" s="1"/>
      <c r="M203" s="36"/>
    </row>
    <row r="204" spans="1:13" s="22" customFormat="1" ht="16.5" customHeight="1">
      <c r="A204" s="7"/>
      <c r="B204" s="7"/>
      <c r="C204" s="7"/>
      <c r="D204" s="25"/>
      <c r="E204" s="25"/>
      <c r="F204" s="25"/>
      <c r="G204" s="59"/>
      <c r="H204" s="10" t="s">
        <v>529</v>
      </c>
      <c r="I204" s="11" t="s">
        <v>530</v>
      </c>
      <c r="J204" s="41">
        <f>2200*200</f>
        <v>440000</v>
      </c>
      <c r="K204" s="59"/>
      <c r="L204" s="1"/>
      <c r="M204" s="36"/>
    </row>
    <row r="205" spans="1:13" s="22" customFormat="1" ht="16.5" customHeight="1">
      <c r="A205" s="7"/>
      <c r="B205" s="7"/>
      <c r="C205" s="6"/>
      <c r="D205" s="37"/>
      <c r="E205" s="37"/>
      <c r="F205" s="37"/>
      <c r="G205" s="56"/>
      <c r="H205" s="8" t="s">
        <v>531</v>
      </c>
      <c r="I205" s="9" t="s">
        <v>532</v>
      </c>
      <c r="J205" s="40">
        <f>3630*100</f>
        <v>363000</v>
      </c>
      <c r="K205" s="56"/>
      <c r="L205" s="1"/>
      <c r="M205" s="36"/>
    </row>
    <row r="206" spans="1:13" s="22" customFormat="1" ht="16.5" customHeight="1">
      <c r="A206" s="7"/>
      <c r="B206" s="7"/>
      <c r="C206" s="6" t="s">
        <v>58</v>
      </c>
      <c r="D206" s="37">
        <v>1000000</v>
      </c>
      <c r="E206" s="37">
        <v>1680000</v>
      </c>
      <c r="F206" s="37">
        <f>SUM(J206)</f>
        <v>2400000</v>
      </c>
      <c r="G206" s="56">
        <f>F206-D206</f>
        <v>1400000</v>
      </c>
      <c r="H206" s="8" t="s">
        <v>59</v>
      </c>
      <c r="I206" s="9" t="s">
        <v>663</v>
      </c>
      <c r="J206" s="40">
        <f>40000*10*6</f>
        <v>2400000</v>
      </c>
      <c r="K206" s="56"/>
      <c r="L206" s="1"/>
      <c r="M206" s="36"/>
    </row>
    <row r="207" spans="1:13" s="22" customFormat="1" ht="16.5" customHeight="1">
      <c r="A207" s="7"/>
      <c r="B207" s="7"/>
      <c r="C207" s="6" t="s">
        <v>63</v>
      </c>
      <c r="D207" s="37">
        <v>1000000</v>
      </c>
      <c r="E207" s="37">
        <v>909110</v>
      </c>
      <c r="F207" s="37">
        <f>SUM(J207)</f>
        <v>2000000</v>
      </c>
      <c r="G207" s="56">
        <f>F207-D207</f>
        <v>1000000</v>
      </c>
      <c r="H207" s="8" t="s">
        <v>80</v>
      </c>
      <c r="I207" s="9"/>
      <c r="J207" s="40">
        <v>2000000</v>
      </c>
      <c r="K207" s="56"/>
      <c r="L207" s="1"/>
      <c r="M207" s="36"/>
    </row>
    <row r="208" spans="1:13" s="22" customFormat="1" ht="16.5" customHeight="1">
      <c r="A208" s="7"/>
      <c r="B208" s="7"/>
      <c r="C208" s="6" t="s">
        <v>45</v>
      </c>
      <c r="D208" s="37">
        <v>1000000</v>
      </c>
      <c r="E208" s="37">
        <v>315000</v>
      </c>
      <c r="F208" s="35">
        <f>SUM(J208)</f>
        <v>2000000</v>
      </c>
      <c r="G208" s="58">
        <f>F208-D208</f>
        <v>1000000</v>
      </c>
      <c r="H208" s="13" t="s">
        <v>60</v>
      </c>
      <c r="I208" s="14"/>
      <c r="J208" s="40">
        <v>2000000</v>
      </c>
      <c r="K208" s="58"/>
      <c r="L208" s="1"/>
      <c r="M208" s="36"/>
    </row>
    <row r="209" spans="1:13" s="22" customFormat="1" ht="16.5" customHeight="1">
      <c r="A209" s="7"/>
      <c r="B209" s="7"/>
      <c r="C209" s="6" t="s">
        <v>61</v>
      </c>
      <c r="D209" s="37">
        <v>1000000</v>
      </c>
      <c r="E209" s="37">
        <v>830716</v>
      </c>
      <c r="F209" s="37">
        <f>SUM(J209)</f>
        <v>2000000</v>
      </c>
      <c r="G209" s="56">
        <f>F209-D209</f>
        <v>1000000</v>
      </c>
      <c r="H209" s="8" t="s">
        <v>81</v>
      </c>
      <c r="I209" s="9"/>
      <c r="J209" s="40">
        <v>2000000</v>
      </c>
      <c r="K209" s="56"/>
      <c r="L209" s="1"/>
      <c r="M209" s="36"/>
    </row>
    <row r="210" spans="1:13" s="22" customFormat="1" ht="16.5" customHeight="1">
      <c r="A210" s="7"/>
      <c r="B210" s="7"/>
      <c r="C210" s="18" t="s">
        <v>35</v>
      </c>
      <c r="D210" s="53">
        <v>2200000</v>
      </c>
      <c r="E210" s="53">
        <v>2952000</v>
      </c>
      <c r="F210" s="53">
        <f>SUM(J210:J212)</f>
        <v>6050000</v>
      </c>
      <c r="G210" s="57">
        <f t="shared" ref="G210:G216" si="8">F210-D210</f>
        <v>3850000</v>
      </c>
      <c r="H210" s="15" t="s">
        <v>478</v>
      </c>
      <c r="I210" s="16" t="s">
        <v>479</v>
      </c>
      <c r="J210" s="43">
        <f>660000*2</f>
        <v>1320000</v>
      </c>
      <c r="K210" s="57"/>
      <c r="L210" s="1"/>
      <c r="M210" s="36"/>
    </row>
    <row r="211" spans="1:13" s="22" customFormat="1" ht="16.5" customHeight="1">
      <c r="A211" s="7"/>
      <c r="B211" s="7"/>
      <c r="C211" s="7"/>
      <c r="D211" s="25"/>
      <c r="E211" s="25"/>
      <c r="F211" s="25"/>
      <c r="G211" s="59"/>
      <c r="H211" s="10" t="s">
        <v>533</v>
      </c>
      <c r="I211" s="11" t="s">
        <v>543</v>
      </c>
      <c r="J211" s="41">
        <f>16500*20</f>
        <v>330000</v>
      </c>
      <c r="K211" s="59"/>
      <c r="L211" s="1"/>
      <c r="M211" s="36"/>
    </row>
    <row r="212" spans="1:13" s="22" customFormat="1" ht="16.5" customHeight="1">
      <c r="A212" s="7"/>
      <c r="B212" s="7"/>
      <c r="C212" s="6"/>
      <c r="D212" s="37"/>
      <c r="E212" s="37"/>
      <c r="F212" s="37"/>
      <c r="G212" s="56"/>
      <c r="H212" s="8" t="s">
        <v>198</v>
      </c>
      <c r="I212" s="9"/>
      <c r="J212" s="40">
        <v>4400000</v>
      </c>
      <c r="K212" s="56"/>
      <c r="L212" s="1"/>
      <c r="M212" s="36"/>
    </row>
    <row r="213" spans="1:13" s="22" customFormat="1" ht="16.5" customHeight="1">
      <c r="A213" s="65"/>
      <c r="B213" s="7"/>
      <c r="C213" s="6" t="s">
        <v>37</v>
      </c>
      <c r="D213" s="37">
        <v>0</v>
      </c>
      <c r="E213" s="37"/>
      <c r="F213" s="37">
        <f>SUM(J213)</f>
        <v>3000000</v>
      </c>
      <c r="G213" s="56">
        <f>F213-D213</f>
        <v>3000000</v>
      </c>
      <c r="H213" s="8" t="s">
        <v>38</v>
      </c>
      <c r="I213" s="9"/>
      <c r="J213" s="40">
        <v>3000000</v>
      </c>
      <c r="K213" s="56"/>
      <c r="L213" s="1"/>
      <c r="M213" s="36"/>
    </row>
    <row r="214" spans="1:13" s="22" customFormat="1" ht="16.5" customHeight="1">
      <c r="A214" s="7"/>
      <c r="B214" s="7"/>
      <c r="C214" s="12" t="s">
        <v>65</v>
      </c>
      <c r="D214" s="35">
        <v>1000000</v>
      </c>
      <c r="E214" s="35">
        <v>990000</v>
      </c>
      <c r="F214" s="35">
        <f>SUM(J214:J214)</f>
        <v>0</v>
      </c>
      <c r="G214" s="58">
        <f t="shared" si="8"/>
        <v>-1000000</v>
      </c>
      <c r="H214" s="13" t="s">
        <v>66</v>
      </c>
      <c r="I214" s="14"/>
      <c r="J214" s="42"/>
      <c r="K214" s="58"/>
      <c r="L214" s="1"/>
      <c r="M214" s="36"/>
    </row>
    <row r="215" spans="1:13" s="22" customFormat="1" ht="16.5" customHeight="1">
      <c r="A215" s="7"/>
      <c r="B215" s="7"/>
      <c r="C215" s="12" t="s">
        <v>82</v>
      </c>
      <c r="D215" s="35">
        <v>3500000</v>
      </c>
      <c r="E215" s="35">
        <v>5000000</v>
      </c>
      <c r="F215" s="35">
        <f>SUM(J215:J215)</f>
        <v>5000000</v>
      </c>
      <c r="G215" s="58">
        <f t="shared" si="8"/>
        <v>1500000</v>
      </c>
      <c r="H215" s="13" t="s">
        <v>83</v>
      </c>
      <c r="I215" s="14"/>
      <c r="J215" s="42">
        <v>5000000</v>
      </c>
      <c r="K215" s="58"/>
      <c r="L215" s="1"/>
      <c r="M215" s="36"/>
    </row>
    <row r="216" spans="1:13" s="22" customFormat="1" ht="16.5" customHeight="1">
      <c r="A216" s="7"/>
      <c r="B216" s="7"/>
      <c r="C216" s="12" t="s">
        <v>84</v>
      </c>
      <c r="D216" s="35">
        <v>0</v>
      </c>
      <c r="E216" s="35">
        <v>5100000</v>
      </c>
      <c r="F216" s="35">
        <f>SUM(J216:J216)</f>
        <v>15000000</v>
      </c>
      <c r="G216" s="58">
        <f t="shared" si="8"/>
        <v>15000000</v>
      </c>
      <c r="H216" s="13" t="s">
        <v>535</v>
      </c>
      <c r="I216" s="14" t="s">
        <v>536</v>
      </c>
      <c r="J216" s="42">
        <v>15000000</v>
      </c>
      <c r="K216" s="58"/>
      <c r="L216" s="1"/>
      <c r="M216" s="36"/>
    </row>
    <row r="217" spans="1:13" s="22" customFormat="1" ht="16.5" customHeight="1">
      <c r="A217" s="6"/>
      <c r="B217" s="6"/>
      <c r="C217" s="6" t="s">
        <v>85</v>
      </c>
      <c r="D217" s="37">
        <v>5000000</v>
      </c>
      <c r="E217" s="37">
        <v>70700</v>
      </c>
      <c r="F217" s="37">
        <f>J217</f>
        <v>2000000</v>
      </c>
      <c r="G217" s="56">
        <f>F217-D217</f>
        <v>-3000000</v>
      </c>
      <c r="H217" s="8" t="s">
        <v>86</v>
      </c>
      <c r="I217" s="9"/>
      <c r="J217" s="40">
        <v>2000000</v>
      </c>
      <c r="K217" s="56"/>
      <c r="L217" s="1"/>
      <c r="M217" s="36"/>
    </row>
    <row r="218" spans="1:13" s="22" customFormat="1" ht="19.5" customHeight="1">
      <c r="A218" s="7" t="s">
        <v>51</v>
      </c>
      <c r="B218" s="7" t="s">
        <v>343</v>
      </c>
      <c r="C218" s="6"/>
      <c r="D218" s="37">
        <v>11720000</v>
      </c>
      <c r="E218" s="37">
        <f>SUM(E219:E231)</f>
        <v>8388808</v>
      </c>
      <c r="F218" s="37">
        <f>SUM(F219:F231)</f>
        <v>20310000</v>
      </c>
      <c r="G218" s="56">
        <f>F218-D218</f>
        <v>8590000</v>
      </c>
      <c r="H218" s="13"/>
      <c r="I218" s="14"/>
      <c r="J218" s="42"/>
      <c r="K218" s="56"/>
      <c r="L218" s="1"/>
      <c r="M218" s="36"/>
    </row>
    <row r="219" spans="1:13" s="22" customFormat="1" ht="19.5" customHeight="1">
      <c r="A219" s="7"/>
      <c r="B219" s="7" t="s">
        <v>87</v>
      </c>
      <c r="C219" s="18" t="s">
        <v>55</v>
      </c>
      <c r="D219" s="53">
        <v>4420000</v>
      </c>
      <c r="E219" s="53">
        <v>4240000</v>
      </c>
      <c r="F219" s="53">
        <f>SUM(J219:J223)</f>
        <v>5750000</v>
      </c>
      <c r="G219" s="57">
        <f>F219-D219</f>
        <v>1330000</v>
      </c>
      <c r="H219" s="15" t="s">
        <v>77</v>
      </c>
      <c r="I219" s="16" t="s">
        <v>544</v>
      </c>
      <c r="J219" s="43">
        <f>30000*17*4</f>
        <v>2040000</v>
      </c>
      <c r="K219" s="57"/>
      <c r="L219" s="1"/>
      <c r="M219" s="36"/>
    </row>
    <row r="220" spans="1:13" s="22" customFormat="1" ht="19.5" customHeight="1">
      <c r="A220" s="7"/>
      <c r="B220" s="7"/>
      <c r="C220" s="7"/>
      <c r="D220" s="25"/>
      <c r="E220" s="25"/>
      <c r="F220" s="25"/>
      <c r="G220" s="59"/>
      <c r="H220" s="10" t="s">
        <v>78</v>
      </c>
      <c r="I220" s="11" t="s">
        <v>545</v>
      </c>
      <c r="J220" s="41">
        <f>15000*17*4</f>
        <v>1020000</v>
      </c>
      <c r="K220" s="59"/>
      <c r="L220" s="1"/>
      <c r="M220" s="36"/>
    </row>
    <row r="221" spans="1:13" s="22" customFormat="1" ht="19.5" customHeight="1">
      <c r="A221" s="7"/>
      <c r="B221" s="7"/>
      <c r="C221" s="7"/>
      <c r="D221" s="25"/>
      <c r="E221" s="25"/>
      <c r="F221" s="25"/>
      <c r="G221" s="59"/>
      <c r="H221" s="10" t="s">
        <v>57</v>
      </c>
      <c r="I221" s="11" t="s">
        <v>547</v>
      </c>
      <c r="J221" s="41">
        <f>40000*9*4</f>
        <v>1440000</v>
      </c>
      <c r="K221" s="59"/>
      <c r="L221" s="1"/>
      <c r="M221" s="36"/>
    </row>
    <row r="222" spans="1:13" s="22" customFormat="1" ht="19.5" customHeight="1">
      <c r="A222" s="7"/>
      <c r="B222" s="7"/>
      <c r="C222" s="7"/>
      <c r="D222" s="25"/>
      <c r="E222" s="25"/>
      <c r="F222" s="25"/>
      <c r="G222" s="59"/>
      <c r="H222" s="10" t="s">
        <v>56</v>
      </c>
      <c r="I222" s="11" t="s">
        <v>546</v>
      </c>
      <c r="J222" s="41">
        <f>50000*17</f>
        <v>850000</v>
      </c>
      <c r="K222" s="59"/>
      <c r="L222" s="1"/>
      <c r="M222" s="36"/>
    </row>
    <row r="223" spans="1:13" s="22" customFormat="1" ht="19.5" customHeight="1">
      <c r="A223" s="7"/>
      <c r="B223" s="7"/>
      <c r="C223" s="6"/>
      <c r="D223" s="37"/>
      <c r="E223" s="37"/>
      <c r="F223" s="37"/>
      <c r="G223" s="56"/>
      <c r="H223" s="8" t="s">
        <v>461</v>
      </c>
      <c r="I223" s="9"/>
      <c r="J223" s="40">
        <v>400000</v>
      </c>
      <c r="K223" s="56"/>
      <c r="L223" s="1"/>
      <c r="M223" s="36"/>
    </row>
    <row r="224" spans="1:13" s="22" customFormat="1" ht="19.5" customHeight="1">
      <c r="A224" s="7"/>
      <c r="B224" s="7"/>
      <c r="C224" s="6" t="s">
        <v>16</v>
      </c>
      <c r="D224" s="37">
        <v>300000</v>
      </c>
      <c r="E224" s="37">
        <v>243310</v>
      </c>
      <c r="F224" s="37">
        <f>J224</f>
        <v>660000</v>
      </c>
      <c r="G224" s="56">
        <f>F224-D224</f>
        <v>360000</v>
      </c>
      <c r="H224" s="8" t="s">
        <v>88</v>
      </c>
      <c r="I224" s="9" t="s">
        <v>548</v>
      </c>
      <c r="J224" s="40">
        <f>4400*150</f>
        <v>660000</v>
      </c>
      <c r="K224" s="56"/>
      <c r="L224" s="1"/>
      <c r="M224" s="36"/>
    </row>
    <row r="225" spans="1:13" s="22" customFormat="1" ht="19.5" customHeight="1">
      <c r="A225" s="7"/>
      <c r="B225" s="7"/>
      <c r="C225" s="6" t="s">
        <v>58</v>
      </c>
      <c r="D225" s="37">
        <v>1500000</v>
      </c>
      <c r="E225" s="37">
        <v>520000</v>
      </c>
      <c r="F225" s="37">
        <f>J225</f>
        <v>2400000</v>
      </c>
      <c r="G225" s="56">
        <f>F225-D225</f>
        <v>900000</v>
      </c>
      <c r="H225" s="8" t="s">
        <v>59</v>
      </c>
      <c r="I225" s="9" t="s">
        <v>664</v>
      </c>
      <c r="J225" s="40">
        <f>60000*10*4</f>
        <v>2400000</v>
      </c>
      <c r="K225" s="56"/>
      <c r="L225" s="1"/>
      <c r="M225" s="36"/>
    </row>
    <row r="226" spans="1:13" s="22" customFormat="1" ht="19.5" customHeight="1">
      <c r="A226" s="7"/>
      <c r="B226" s="7"/>
      <c r="C226" s="6" t="s">
        <v>63</v>
      </c>
      <c r="D226" s="37">
        <v>1000000</v>
      </c>
      <c r="E226" s="37">
        <v>1026500</v>
      </c>
      <c r="F226" s="37">
        <f>J226</f>
        <v>2000000</v>
      </c>
      <c r="G226" s="56">
        <f t="shared" ref="G226:G231" si="9">F226-D226</f>
        <v>1000000</v>
      </c>
      <c r="H226" s="8" t="s">
        <v>80</v>
      </c>
      <c r="I226" s="9"/>
      <c r="J226" s="40">
        <v>2000000</v>
      </c>
      <c r="K226" s="56"/>
      <c r="L226" s="1"/>
      <c r="M226" s="36"/>
    </row>
    <row r="227" spans="1:13" s="22" customFormat="1" ht="19.5" customHeight="1">
      <c r="A227" s="7"/>
      <c r="B227" s="7"/>
      <c r="C227" s="6" t="s">
        <v>45</v>
      </c>
      <c r="D227" s="37">
        <v>1000000</v>
      </c>
      <c r="E227" s="37">
        <v>0</v>
      </c>
      <c r="F227" s="37">
        <f>J227</f>
        <v>2000000</v>
      </c>
      <c r="G227" s="56">
        <f>F227-D227</f>
        <v>1000000</v>
      </c>
      <c r="H227" s="8" t="s">
        <v>60</v>
      </c>
      <c r="I227" s="9"/>
      <c r="J227" s="40">
        <v>2000000</v>
      </c>
      <c r="K227" s="56"/>
      <c r="L227" s="1"/>
      <c r="M227" s="36"/>
    </row>
    <row r="228" spans="1:13" s="22" customFormat="1" ht="19.5" customHeight="1">
      <c r="A228" s="7"/>
      <c r="B228" s="7"/>
      <c r="C228" s="6" t="s">
        <v>61</v>
      </c>
      <c r="D228" s="37">
        <v>1000000</v>
      </c>
      <c r="E228" s="37">
        <v>618998</v>
      </c>
      <c r="F228" s="37">
        <f>J228</f>
        <v>2000000</v>
      </c>
      <c r="G228" s="56">
        <f t="shared" si="9"/>
        <v>1000000</v>
      </c>
      <c r="H228" s="8" t="s">
        <v>81</v>
      </c>
      <c r="I228" s="9"/>
      <c r="J228" s="40">
        <v>2000000</v>
      </c>
      <c r="K228" s="56"/>
      <c r="L228" s="1"/>
      <c r="M228" s="36"/>
    </row>
    <row r="229" spans="1:13" s="22" customFormat="1" ht="19.5" customHeight="1">
      <c r="A229" s="65"/>
      <c r="B229" s="7"/>
      <c r="C229" s="6" t="s">
        <v>37</v>
      </c>
      <c r="D229" s="37">
        <v>0</v>
      </c>
      <c r="E229" s="37">
        <v>0</v>
      </c>
      <c r="F229" s="37">
        <f>SUM(J229)</f>
        <v>2000000</v>
      </c>
      <c r="G229" s="56">
        <f>F229-D229</f>
        <v>2000000</v>
      </c>
      <c r="H229" s="8" t="s">
        <v>38</v>
      </c>
      <c r="I229" s="9"/>
      <c r="J229" s="40">
        <v>2000000</v>
      </c>
      <c r="K229" s="56"/>
      <c r="L229" s="1"/>
      <c r="M229" s="36"/>
    </row>
    <row r="230" spans="1:13" s="22" customFormat="1" ht="19.5" customHeight="1">
      <c r="A230" s="7"/>
      <c r="B230" s="7"/>
      <c r="C230" s="6" t="s">
        <v>7</v>
      </c>
      <c r="D230" s="37">
        <v>1500000</v>
      </c>
      <c r="E230" s="37">
        <v>1500000</v>
      </c>
      <c r="F230" s="37">
        <f>J230</f>
        <v>1500000</v>
      </c>
      <c r="G230" s="37">
        <f t="shared" si="9"/>
        <v>0</v>
      </c>
      <c r="H230" s="8" t="s">
        <v>89</v>
      </c>
      <c r="I230" s="9"/>
      <c r="J230" s="40">
        <v>1500000</v>
      </c>
      <c r="K230" s="37"/>
      <c r="L230" s="1"/>
      <c r="M230" s="36"/>
    </row>
    <row r="231" spans="1:13" s="22" customFormat="1" ht="19.5" customHeight="1">
      <c r="A231" s="7"/>
      <c r="B231" s="6"/>
      <c r="C231" s="6" t="s">
        <v>85</v>
      </c>
      <c r="D231" s="37">
        <v>1000000</v>
      </c>
      <c r="E231" s="37">
        <v>240000</v>
      </c>
      <c r="F231" s="37">
        <f>SUM(J231)</f>
        <v>2000000</v>
      </c>
      <c r="G231" s="56">
        <f t="shared" si="9"/>
        <v>1000000</v>
      </c>
      <c r="H231" s="8" t="s">
        <v>68</v>
      </c>
      <c r="I231" s="9"/>
      <c r="J231" s="40">
        <v>2000000</v>
      </c>
      <c r="K231" s="56"/>
      <c r="L231" s="1"/>
      <c r="M231" s="36"/>
    </row>
    <row r="232" spans="1:13" s="22" customFormat="1" ht="19.5" customHeight="1">
      <c r="A232" s="7"/>
      <c r="B232" s="7" t="s">
        <v>344</v>
      </c>
      <c r="C232" s="6"/>
      <c r="D232" s="37">
        <v>26513000</v>
      </c>
      <c r="E232" s="37">
        <f>SUM(E233:E258)</f>
        <v>25560648</v>
      </c>
      <c r="F232" s="37">
        <f>SUM(F233:F258)</f>
        <v>56066000</v>
      </c>
      <c r="G232" s="56">
        <f>F232-D232</f>
        <v>29553000</v>
      </c>
      <c r="H232" s="8"/>
      <c r="I232" s="9"/>
      <c r="J232" s="40"/>
      <c r="K232" s="56"/>
      <c r="L232" s="1"/>
      <c r="M232" s="36"/>
    </row>
    <row r="233" spans="1:13" s="22" customFormat="1" ht="19.5" customHeight="1">
      <c r="A233" s="7"/>
      <c r="B233" s="7" t="s">
        <v>96</v>
      </c>
      <c r="C233" s="7" t="s">
        <v>71</v>
      </c>
      <c r="D233" s="25">
        <v>2488000</v>
      </c>
      <c r="E233" s="25">
        <v>2983000</v>
      </c>
      <c r="F233" s="25">
        <f>SUM(J233:J237)</f>
        <v>3718000</v>
      </c>
      <c r="G233" s="59">
        <f>F233-D233</f>
        <v>1230000</v>
      </c>
      <c r="H233" s="10" t="s">
        <v>97</v>
      </c>
      <c r="I233" s="11" t="s">
        <v>549</v>
      </c>
      <c r="J233" s="48">
        <f>110000*8</f>
        <v>880000</v>
      </c>
      <c r="K233" s="59"/>
      <c r="L233" s="1"/>
      <c r="M233" s="36"/>
    </row>
    <row r="234" spans="1:13" s="22" customFormat="1" ht="19.5" customHeight="1">
      <c r="A234" s="7"/>
      <c r="B234" s="7" t="s">
        <v>98</v>
      </c>
      <c r="C234" s="7"/>
      <c r="D234" s="25"/>
      <c r="E234" s="25"/>
      <c r="F234" s="25"/>
      <c r="G234" s="59"/>
      <c r="H234" s="10"/>
      <c r="I234" s="11" t="s">
        <v>550</v>
      </c>
      <c r="J234" s="48">
        <f>93500*8</f>
        <v>748000</v>
      </c>
      <c r="K234" s="59"/>
      <c r="L234" s="1"/>
      <c r="M234" s="36"/>
    </row>
    <row r="235" spans="1:13" s="22" customFormat="1" ht="19.5" customHeight="1">
      <c r="A235" s="7"/>
      <c r="B235" s="7"/>
      <c r="C235" s="7"/>
      <c r="D235" s="25"/>
      <c r="E235" s="25"/>
      <c r="F235" s="25"/>
      <c r="G235" s="59"/>
      <c r="H235" s="10"/>
      <c r="I235" s="11" t="s">
        <v>551</v>
      </c>
      <c r="J235" s="48">
        <f>77000*16</f>
        <v>1232000</v>
      </c>
      <c r="K235" s="59"/>
      <c r="L235" s="1"/>
      <c r="M235" s="36"/>
    </row>
    <row r="236" spans="1:13" s="22" customFormat="1" ht="19.5" customHeight="1">
      <c r="A236" s="7"/>
      <c r="B236" s="7"/>
      <c r="C236" s="7"/>
      <c r="D236" s="25"/>
      <c r="E236" s="25"/>
      <c r="F236" s="25"/>
      <c r="G236" s="59"/>
      <c r="H236" s="10" t="s">
        <v>212</v>
      </c>
      <c r="I236" s="11" t="s">
        <v>552</v>
      </c>
      <c r="J236" s="48">
        <f>16500*32</f>
        <v>528000</v>
      </c>
      <c r="K236" s="59"/>
      <c r="L236" s="1"/>
      <c r="M236" s="36"/>
    </row>
    <row r="237" spans="1:13" s="22" customFormat="1" ht="19.5" customHeight="1">
      <c r="A237" s="7"/>
      <c r="B237" s="7"/>
      <c r="C237" s="6"/>
      <c r="D237" s="37"/>
      <c r="E237" s="37"/>
      <c r="F237" s="37"/>
      <c r="G237" s="56"/>
      <c r="H237" s="8" t="s">
        <v>525</v>
      </c>
      <c r="I237" s="9" t="s">
        <v>526</v>
      </c>
      <c r="J237" s="49">
        <f>165000*2</f>
        <v>330000</v>
      </c>
      <c r="K237" s="56"/>
      <c r="L237" s="1"/>
      <c r="M237" s="36"/>
    </row>
    <row r="238" spans="1:13" s="22" customFormat="1" ht="19.5" customHeight="1">
      <c r="A238" s="7"/>
      <c r="B238" s="7"/>
      <c r="C238" s="7" t="s">
        <v>55</v>
      </c>
      <c r="D238" s="25">
        <v>6025000</v>
      </c>
      <c r="E238" s="25">
        <v>4212800</v>
      </c>
      <c r="F238" s="25">
        <f>SUM(J238:J243)</f>
        <v>7820000</v>
      </c>
      <c r="G238" s="59">
        <f>F238-D238</f>
        <v>1795000</v>
      </c>
      <c r="H238" s="10" t="s">
        <v>77</v>
      </c>
      <c r="I238" s="11" t="s">
        <v>553</v>
      </c>
      <c r="J238" s="41">
        <f>30000*15*6</f>
        <v>2700000</v>
      </c>
      <c r="K238" s="59"/>
      <c r="L238" s="1"/>
      <c r="M238" s="36"/>
    </row>
    <row r="239" spans="1:13" s="22" customFormat="1" ht="19.5" customHeight="1">
      <c r="A239" s="7"/>
      <c r="B239" s="7"/>
      <c r="C239" s="7"/>
      <c r="D239" s="25"/>
      <c r="E239" s="25"/>
      <c r="F239" s="25"/>
      <c r="G239" s="59"/>
      <c r="H239" s="10" t="s">
        <v>78</v>
      </c>
      <c r="I239" s="11" t="s">
        <v>554</v>
      </c>
      <c r="J239" s="41">
        <f>15000*15*6</f>
        <v>1350000</v>
      </c>
      <c r="K239" s="59"/>
      <c r="L239" s="1"/>
      <c r="M239" s="36"/>
    </row>
    <row r="240" spans="1:13" s="22" customFormat="1" ht="19.5" customHeight="1">
      <c r="A240" s="7"/>
      <c r="B240" s="7"/>
      <c r="C240" s="7"/>
      <c r="D240" s="25"/>
      <c r="E240" s="25"/>
      <c r="F240" s="25"/>
      <c r="G240" s="59"/>
      <c r="H240" s="10" t="s">
        <v>56</v>
      </c>
      <c r="I240" s="11" t="s">
        <v>202</v>
      </c>
      <c r="J240" s="41">
        <f>50000*15</f>
        <v>750000</v>
      </c>
      <c r="K240" s="59"/>
      <c r="L240" s="1"/>
      <c r="M240" s="36"/>
    </row>
    <row r="241" spans="1:13" s="22" customFormat="1" ht="19.5" customHeight="1">
      <c r="A241" s="7"/>
      <c r="B241" s="7"/>
      <c r="C241" s="7"/>
      <c r="D241" s="25"/>
      <c r="E241" s="25"/>
      <c r="F241" s="25"/>
      <c r="G241" s="59"/>
      <c r="H241" s="23" t="s">
        <v>57</v>
      </c>
      <c r="I241" s="11" t="s">
        <v>665</v>
      </c>
      <c r="J241" s="41">
        <f>40000*8*6</f>
        <v>1920000</v>
      </c>
      <c r="K241" s="59"/>
      <c r="L241" s="1"/>
      <c r="M241" s="36"/>
    </row>
    <row r="242" spans="1:13" s="22" customFormat="1" ht="19.5" customHeight="1">
      <c r="A242" s="7"/>
      <c r="B242" s="7"/>
      <c r="C242" s="7"/>
      <c r="D242" s="25"/>
      <c r="E242" s="25"/>
      <c r="F242" s="25"/>
      <c r="G242" s="59"/>
      <c r="H242" s="23" t="s">
        <v>461</v>
      </c>
      <c r="I242" s="11"/>
      <c r="J242" s="41">
        <v>800000</v>
      </c>
      <c r="K242" s="59"/>
      <c r="L242" s="1"/>
      <c r="M242" s="36"/>
    </row>
    <row r="243" spans="1:13" s="22" customFormat="1" ht="19.5" customHeight="1">
      <c r="A243" s="6"/>
      <c r="B243" s="6"/>
      <c r="C243" s="6"/>
      <c r="D243" s="37"/>
      <c r="E243" s="37"/>
      <c r="F243" s="37"/>
      <c r="G243" s="56"/>
      <c r="H243" s="24" t="s">
        <v>93</v>
      </c>
      <c r="I243" s="9"/>
      <c r="J243" s="40">
        <v>300000</v>
      </c>
      <c r="K243" s="56"/>
      <c r="L243" s="1"/>
      <c r="M243" s="36"/>
    </row>
    <row r="244" spans="1:13" s="22" customFormat="1" ht="17.25" customHeight="1">
      <c r="A244" s="7" t="s">
        <v>51</v>
      </c>
      <c r="B244" s="7" t="s">
        <v>344</v>
      </c>
      <c r="C244" s="7" t="s">
        <v>16</v>
      </c>
      <c r="D244" s="25">
        <v>2100000</v>
      </c>
      <c r="E244" s="25">
        <v>4020500</v>
      </c>
      <c r="F244" s="25">
        <f>SUM(J244:J246)</f>
        <v>5313000</v>
      </c>
      <c r="G244" s="59">
        <f>F244-D244</f>
        <v>3213000</v>
      </c>
      <c r="H244" s="10" t="s">
        <v>94</v>
      </c>
      <c r="I244" s="11" t="s">
        <v>555</v>
      </c>
      <c r="J244" s="41">
        <f>9020*500</f>
        <v>4510000</v>
      </c>
      <c r="K244" s="59"/>
      <c r="L244" s="1"/>
      <c r="M244" s="36"/>
    </row>
    <row r="245" spans="1:13" s="22" customFormat="1" ht="17.25" customHeight="1">
      <c r="A245" s="7"/>
      <c r="B245" s="7" t="s">
        <v>96</v>
      </c>
      <c r="C245" s="7"/>
      <c r="D245" s="25"/>
      <c r="E245" s="25"/>
      <c r="F245" s="25"/>
      <c r="G245" s="59"/>
      <c r="H245" s="10" t="s">
        <v>529</v>
      </c>
      <c r="I245" s="11" t="s">
        <v>530</v>
      </c>
      <c r="J245" s="41">
        <f>440000</f>
        <v>440000</v>
      </c>
      <c r="K245" s="59"/>
      <c r="L245" s="1"/>
      <c r="M245" s="36"/>
    </row>
    <row r="246" spans="1:13" s="22" customFormat="1" ht="17.25" customHeight="1">
      <c r="A246" s="7"/>
      <c r="B246" s="7" t="s">
        <v>98</v>
      </c>
      <c r="C246" s="6"/>
      <c r="D246" s="37"/>
      <c r="E246" s="37"/>
      <c r="F246" s="37"/>
      <c r="G246" s="56"/>
      <c r="H246" s="8" t="s">
        <v>556</v>
      </c>
      <c r="I246" s="9" t="s">
        <v>532</v>
      </c>
      <c r="J246" s="40">
        <f>3630*100</f>
        <v>363000</v>
      </c>
      <c r="K246" s="56"/>
      <c r="L246" s="1"/>
      <c r="M246" s="36"/>
    </row>
    <row r="247" spans="1:13" s="22" customFormat="1" ht="17.25" customHeight="1">
      <c r="A247" s="7"/>
      <c r="B247" s="7"/>
      <c r="C247" s="6" t="s">
        <v>58</v>
      </c>
      <c r="D247" s="37">
        <v>1500000</v>
      </c>
      <c r="E247" s="37">
        <v>2066358</v>
      </c>
      <c r="F247" s="37">
        <f>SUM(J247)</f>
        <v>3000000</v>
      </c>
      <c r="G247" s="56">
        <f>F247-D247</f>
        <v>1500000</v>
      </c>
      <c r="H247" s="8" t="s">
        <v>59</v>
      </c>
      <c r="I247" s="9" t="s">
        <v>666</v>
      </c>
      <c r="J247" s="40">
        <f>50000*10*6</f>
        <v>3000000</v>
      </c>
      <c r="K247" s="56"/>
      <c r="L247" s="1"/>
      <c r="M247" s="36"/>
    </row>
    <row r="248" spans="1:13" s="22" customFormat="1" ht="17.25" customHeight="1">
      <c r="A248" s="7"/>
      <c r="B248" s="7"/>
      <c r="C248" s="12" t="s">
        <v>63</v>
      </c>
      <c r="D248" s="35">
        <v>1000000</v>
      </c>
      <c r="E248" s="35">
        <v>496000</v>
      </c>
      <c r="F248" s="35">
        <f>SUM(J248)</f>
        <v>2000000</v>
      </c>
      <c r="G248" s="58">
        <f>F248-D248</f>
        <v>1000000</v>
      </c>
      <c r="H248" s="13" t="s">
        <v>80</v>
      </c>
      <c r="I248" s="14"/>
      <c r="J248" s="42">
        <v>2000000</v>
      </c>
      <c r="K248" s="58"/>
      <c r="L248" s="1"/>
      <c r="M248" s="36"/>
    </row>
    <row r="249" spans="1:13" s="22" customFormat="1" ht="17.25" customHeight="1">
      <c r="A249" s="7"/>
      <c r="B249" s="7"/>
      <c r="C249" s="6" t="s">
        <v>45</v>
      </c>
      <c r="D249" s="37">
        <v>1000000</v>
      </c>
      <c r="E249" s="37">
        <v>1000000</v>
      </c>
      <c r="F249" s="37">
        <f>SUM(J249)</f>
        <v>2000000</v>
      </c>
      <c r="G249" s="56">
        <f>F249-D249</f>
        <v>1000000</v>
      </c>
      <c r="H249" s="8" t="s">
        <v>60</v>
      </c>
      <c r="I249" s="9"/>
      <c r="J249" s="42">
        <v>2000000</v>
      </c>
      <c r="K249" s="56"/>
      <c r="L249" s="1"/>
      <c r="M249" s="36"/>
    </row>
    <row r="250" spans="1:13" s="22" customFormat="1" ht="17.25" customHeight="1">
      <c r="A250" s="7"/>
      <c r="B250" s="7"/>
      <c r="C250" s="6" t="s">
        <v>61</v>
      </c>
      <c r="D250" s="37">
        <v>1000000</v>
      </c>
      <c r="E250" s="37">
        <v>1567300</v>
      </c>
      <c r="F250" s="37">
        <f>SUM(J250)</f>
        <v>2000000</v>
      </c>
      <c r="G250" s="56">
        <f>F250-D250</f>
        <v>1000000</v>
      </c>
      <c r="H250" s="8" t="s">
        <v>81</v>
      </c>
      <c r="I250" s="9"/>
      <c r="J250" s="40">
        <v>2000000</v>
      </c>
      <c r="K250" s="56"/>
      <c r="L250" s="1"/>
      <c r="M250" s="36"/>
    </row>
    <row r="251" spans="1:13" s="22" customFormat="1" ht="17.25" customHeight="1">
      <c r="A251" s="7"/>
      <c r="B251" s="7"/>
      <c r="C251" s="7" t="s">
        <v>35</v>
      </c>
      <c r="D251" s="25">
        <v>1900000</v>
      </c>
      <c r="E251" s="25">
        <v>990680</v>
      </c>
      <c r="F251" s="25">
        <f>SUM(J251:J253)</f>
        <v>6215000</v>
      </c>
      <c r="G251" s="59">
        <f>F251-D251</f>
        <v>4315000</v>
      </c>
      <c r="H251" s="15" t="s">
        <v>478</v>
      </c>
      <c r="I251" s="16" t="s">
        <v>479</v>
      </c>
      <c r="J251" s="41">
        <f>660000*2</f>
        <v>1320000</v>
      </c>
      <c r="K251" s="59"/>
      <c r="L251" s="1"/>
      <c r="M251" s="36"/>
    </row>
    <row r="252" spans="1:13" s="22" customFormat="1" ht="17.25" customHeight="1">
      <c r="A252" s="7"/>
      <c r="B252" s="7"/>
      <c r="C252" s="7"/>
      <c r="D252" s="25"/>
      <c r="E252" s="25"/>
      <c r="F252" s="25"/>
      <c r="G252" s="59"/>
      <c r="H252" s="10" t="s">
        <v>533</v>
      </c>
      <c r="I252" s="11" t="s">
        <v>557</v>
      </c>
      <c r="J252" s="41">
        <f>16500*30</f>
        <v>495000</v>
      </c>
      <c r="K252" s="59"/>
      <c r="L252" s="1"/>
      <c r="M252" s="36"/>
    </row>
    <row r="253" spans="1:13" s="22" customFormat="1" ht="17.25" customHeight="1">
      <c r="A253" s="7"/>
      <c r="B253" s="7"/>
      <c r="C253" s="6"/>
      <c r="D253" s="37"/>
      <c r="E253" s="37"/>
      <c r="F253" s="37"/>
      <c r="G253" s="56"/>
      <c r="H253" s="8" t="s">
        <v>198</v>
      </c>
      <c r="I253" s="9"/>
      <c r="J253" s="40">
        <v>4400000</v>
      </c>
      <c r="K253" s="56"/>
      <c r="L253" s="1"/>
      <c r="M253" s="36"/>
    </row>
    <row r="254" spans="1:13" s="22" customFormat="1" ht="17.25" customHeight="1">
      <c r="A254" s="65"/>
      <c r="B254" s="7"/>
      <c r="C254" s="6" t="s">
        <v>37</v>
      </c>
      <c r="D254" s="37">
        <v>0</v>
      </c>
      <c r="E254" s="37">
        <v>0</v>
      </c>
      <c r="F254" s="37">
        <f>SUM(J254)</f>
        <v>2000000</v>
      </c>
      <c r="G254" s="56">
        <f t="shared" ref="G254:G260" si="10">F254-D254</f>
        <v>2000000</v>
      </c>
      <c r="H254" s="8" t="s">
        <v>38</v>
      </c>
      <c r="I254" s="9"/>
      <c r="J254" s="40">
        <v>2000000</v>
      </c>
      <c r="K254" s="56"/>
      <c r="L254" s="1"/>
      <c r="M254" s="36"/>
    </row>
    <row r="255" spans="1:13" s="22" customFormat="1" ht="17.25" customHeight="1">
      <c r="A255" s="7"/>
      <c r="B255" s="7"/>
      <c r="C255" s="12" t="s">
        <v>65</v>
      </c>
      <c r="D255" s="35">
        <v>1000000</v>
      </c>
      <c r="E255" s="35">
        <v>275000</v>
      </c>
      <c r="F255" s="35">
        <f>SUM(J255:J255)</f>
        <v>0</v>
      </c>
      <c r="G255" s="58">
        <f t="shared" si="10"/>
        <v>-1000000</v>
      </c>
      <c r="H255" s="13"/>
      <c r="I255" s="14"/>
      <c r="J255" s="42"/>
      <c r="K255" s="58"/>
      <c r="L255" s="1"/>
      <c r="M255" s="36"/>
    </row>
    <row r="256" spans="1:13" s="22" customFormat="1" ht="17.25" customHeight="1">
      <c r="A256" s="7"/>
      <c r="B256" s="7"/>
      <c r="C256" s="12" t="s">
        <v>82</v>
      </c>
      <c r="D256" s="35">
        <v>3500000</v>
      </c>
      <c r="E256" s="35">
        <v>4000000</v>
      </c>
      <c r="F256" s="35">
        <f>SUM(J256:J256)</f>
        <v>5000000</v>
      </c>
      <c r="G256" s="58">
        <f t="shared" si="10"/>
        <v>1500000</v>
      </c>
      <c r="H256" s="13" t="s">
        <v>83</v>
      </c>
      <c r="I256" s="14"/>
      <c r="J256" s="42">
        <v>5000000</v>
      </c>
      <c r="K256" s="58"/>
      <c r="L256" s="1"/>
      <c r="M256" s="36"/>
    </row>
    <row r="257" spans="1:13" s="22" customFormat="1" ht="17.25" customHeight="1">
      <c r="A257" s="7"/>
      <c r="B257" s="7"/>
      <c r="C257" s="12" t="s">
        <v>84</v>
      </c>
      <c r="D257" s="35">
        <v>0</v>
      </c>
      <c r="E257" s="35">
        <v>3900000</v>
      </c>
      <c r="F257" s="35">
        <f>SUM(J257:J257)</f>
        <v>15000000</v>
      </c>
      <c r="G257" s="58">
        <f t="shared" si="10"/>
        <v>15000000</v>
      </c>
      <c r="H257" s="13" t="s">
        <v>535</v>
      </c>
      <c r="I257" s="14" t="s">
        <v>536</v>
      </c>
      <c r="J257" s="42">
        <v>15000000</v>
      </c>
      <c r="K257" s="58"/>
      <c r="L257" s="1"/>
      <c r="M257" s="36"/>
    </row>
    <row r="258" spans="1:13" s="22" customFormat="1" ht="17.25" customHeight="1">
      <c r="A258" s="7"/>
      <c r="B258" s="6"/>
      <c r="C258" s="6" t="s">
        <v>67</v>
      </c>
      <c r="D258" s="37">
        <v>5000000</v>
      </c>
      <c r="E258" s="37">
        <v>49010</v>
      </c>
      <c r="F258" s="37">
        <f>SUM(J258)</f>
        <v>2000000</v>
      </c>
      <c r="G258" s="56">
        <f t="shared" si="10"/>
        <v>-3000000</v>
      </c>
      <c r="H258" s="8" t="s">
        <v>68</v>
      </c>
      <c r="I258" s="9"/>
      <c r="J258" s="40">
        <v>2000000</v>
      </c>
      <c r="K258" s="56"/>
      <c r="L258" s="1"/>
      <c r="M258" s="36"/>
    </row>
    <row r="259" spans="1:13" s="22" customFormat="1" ht="17.25" customHeight="1">
      <c r="A259" s="7"/>
      <c r="B259" s="7" t="s">
        <v>345</v>
      </c>
      <c r="C259" s="6"/>
      <c r="D259" s="37">
        <v>16650000</v>
      </c>
      <c r="E259" s="37">
        <f>SUM(E260:E272)</f>
        <v>16419240</v>
      </c>
      <c r="F259" s="37">
        <f>SUM(F260:F272)</f>
        <v>21396000</v>
      </c>
      <c r="G259" s="56">
        <f t="shared" si="10"/>
        <v>4746000</v>
      </c>
      <c r="H259" s="8"/>
      <c r="I259" s="9"/>
      <c r="J259" s="40"/>
      <c r="K259" s="56"/>
      <c r="L259" s="1"/>
      <c r="M259" s="36"/>
    </row>
    <row r="260" spans="1:13" s="22" customFormat="1" ht="17.25" customHeight="1">
      <c r="A260" s="7"/>
      <c r="B260" s="7" t="s">
        <v>99</v>
      </c>
      <c r="C260" s="18" t="s">
        <v>55</v>
      </c>
      <c r="D260" s="53">
        <v>5250000</v>
      </c>
      <c r="E260" s="53">
        <v>6750000</v>
      </c>
      <c r="F260" s="53">
        <f>SUM(J260:J264)</f>
        <v>6125000</v>
      </c>
      <c r="G260" s="57">
        <f t="shared" si="10"/>
        <v>875000</v>
      </c>
      <c r="H260" s="15" t="s">
        <v>77</v>
      </c>
      <c r="I260" s="16" t="s">
        <v>199</v>
      </c>
      <c r="J260" s="43">
        <f>30000*15*5</f>
        <v>2250000</v>
      </c>
      <c r="K260" s="57"/>
      <c r="L260" s="1"/>
      <c r="M260" s="36"/>
    </row>
    <row r="261" spans="1:13" s="22" customFormat="1" ht="17.25" customHeight="1">
      <c r="A261" s="7"/>
      <c r="B261" s="7"/>
      <c r="C261" s="7"/>
      <c r="D261" s="25"/>
      <c r="E261" s="25"/>
      <c r="F261" s="25" t="s">
        <v>136</v>
      </c>
      <c r="G261" s="59"/>
      <c r="H261" s="10" t="s">
        <v>78</v>
      </c>
      <c r="I261" s="11" t="s">
        <v>208</v>
      </c>
      <c r="J261" s="41">
        <f>15000*15*5</f>
        <v>1125000</v>
      </c>
      <c r="K261" s="59"/>
      <c r="L261" s="1"/>
      <c r="M261" s="36"/>
    </row>
    <row r="262" spans="1:13" s="22" customFormat="1" ht="17.25" customHeight="1">
      <c r="A262" s="7"/>
      <c r="B262" s="7"/>
      <c r="C262" s="7"/>
      <c r="D262" s="25"/>
      <c r="E262" s="25"/>
      <c r="F262" s="25"/>
      <c r="G262" s="59"/>
      <c r="H262" s="10" t="s">
        <v>56</v>
      </c>
      <c r="I262" s="11" t="s">
        <v>202</v>
      </c>
      <c r="J262" s="41">
        <f>50000*15</f>
        <v>750000</v>
      </c>
      <c r="K262" s="59"/>
      <c r="L262" s="1"/>
      <c r="M262" s="36"/>
    </row>
    <row r="263" spans="1:13" s="22" customFormat="1" ht="17.25" customHeight="1">
      <c r="A263" s="7"/>
      <c r="B263" s="7"/>
      <c r="C263" s="7"/>
      <c r="D263" s="25"/>
      <c r="E263" s="25"/>
      <c r="F263" s="25"/>
      <c r="G263" s="59"/>
      <c r="H263" s="10" t="s">
        <v>57</v>
      </c>
      <c r="I263" s="11" t="s">
        <v>558</v>
      </c>
      <c r="J263" s="41">
        <f>40000*8*5</f>
        <v>1600000</v>
      </c>
      <c r="K263" s="59"/>
      <c r="L263" s="1"/>
      <c r="M263" s="36"/>
    </row>
    <row r="264" spans="1:13" s="22" customFormat="1" ht="17.25" customHeight="1">
      <c r="A264" s="7"/>
      <c r="B264" s="7"/>
      <c r="C264" s="6"/>
      <c r="D264" s="37"/>
      <c r="E264" s="37"/>
      <c r="F264" s="37"/>
      <c r="G264" s="56"/>
      <c r="H264" s="8" t="s">
        <v>461</v>
      </c>
      <c r="I264" s="9"/>
      <c r="J264" s="40">
        <v>400000</v>
      </c>
      <c r="K264" s="56"/>
      <c r="L264" s="1"/>
      <c r="M264" s="36"/>
    </row>
    <row r="265" spans="1:13" s="22" customFormat="1" ht="17.25" customHeight="1">
      <c r="A265" s="7"/>
      <c r="B265" s="7"/>
      <c r="C265" s="6" t="s">
        <v>16</v>
      </c>
      <c r="D265" s="37">
        <v>400000</v>
      </c>
      <c r="E265" s="37">
        <v>396000</v>
      </c>
      <c r="F265" s="35">
        <f>SUM(J265)</f>
        <v>771000</v>
      </c>
      <c r="G265" s="56">
        <f>F265-D265</f>
        <v>371000</v>
      </c>
      <c r="H265" s="8" t="s">
        <v>88</v>
      </c>
      <c r="I265" s="9" t="s">
        <v>560</v>
      </c>
      <c r="J265" s="40">
        <f>5140*150</f>
        <v>771000</v>
      </c>
      <c r="K265" s="56"/>
      <c r="L265" s="1"/>
      <c r="M265" s="36"/>
    </row>
    <row r="266" spans="1:13" s="22" customFormat="1" ht="17.25" customHeight="1">
      <c r="A266" s="7"/>
      <c r="B266" s="7"/>
      <c r="C266" s="12" t="s">
        <v>58</v>
      </c>
      <c r="D266" s="35">
        <v>1500000</v>
      </c>
      <c r="E266" s="35">
        <v>3460000</v>
      </c>
      <c r="F266" s="35">
        <f>SUM(J266)</f>
        <v>3000000</v>
      </c>
      <c r="G266" s="58">
        <f>F266-D266</f>
        <v>1500000</v>
      </c>
      <c r="H266" s="13" t="s">
        <v>100</v>
      </c>
      <c r="I266" s="14" t="s">
        <v>559</v>
      </c>
      <c r="J266" s="42">
        <f>60000*10*5</f>
        <v>3000000</v>
      </c>
      <c r="K266" s="58"/>
      <c r="L266" s="1"/>
      <c r="M266" s="36"/>
    </row>
    <row r="267" spans="1:13" s="22" customFormat="1" ht="17.25" customHeight="1">
      <c r="A267" s="7"/>
      <c r="B267" s="7"/>
      <c r="C267" s="6" t="s">
        <v>63</v>
      </c>
      <c r="D267" s="37">
        <v>1000000</v>
      </c>
      <c r="E267" s="37">
        <v>1203540</v>
      </c>
      <c r="F267" s="37">
        <f>J267</f>
        <v>2000000</v>
      </c>
      <c r="G267" s="56">
        <f t="shared" ref="G267:G274" si="11">F267-D267</f>
        <v>1000000</v>
      </c>
      <c r="H267" s="8" t="s">
        <v>64</v>
      </c>
      <c r="I267" s="9"/>
      <c r="J267" s="40">
        <v>2000000</v>
      </c>
      <c r="K267" s="56"/>
      <c r="L267" s="1"/>
      <c r="M267" s="36"/>
    </row>
    <row r="268" spans="1:13" s="22" customFormat="1" ht="17.25" customHeight="1">
      <c r="A268" s="7"/>
      <c r="B268" s="7"/>
      <c r="C268" s="12" t="s">
        <v>45</v>
      </c>
      <c r="D268" s="35">
        <v>1000000</v>
      </c>
      <c r="E268" s="35">
        <v>1148000</v>
      </c>
      <c r="F268" s="35">
        <f>SUM(J268)</f>
        <v>2000000</v>
      </c>
      <c r="G268" s="58">
        <f>F268-D268</f>
        <v>1000000</v>
      </c>
      <c r="H268" s="13" t="s">
        <v>60</v>
      </c>
      <c r="I268" s="14"/>
      <c r="J268" s="42">
        <v>2000000</v>
      </c>
      <c r="K268" s="58"/>
      <c r="L268" s="1"/>
      <c r="M268" s="36"/>
    </row>
    <row r="269" spans="1:13" s="22" customFormat="1" ht="17.25" customHeight="1">
      <c r="A269" s="7"/>
      <c r="B269" s="7"/>
      <c r="C269" s="12" t="s">
        <v>61</v>
      </c>
      <c r="D269" s="35">
        <v>1000000</v>
      </c>
      <c r="E269" s="35">
        <v>1341700</v>
      </c>
      <c r="F269" s="35">
        <f>SUM(J269)</f>
        <v>2000000</v>
      </c>
      <c r="G269" s="58">
        <f t="shared" si="11"/>
        <v>1000000</v>
      </c>
      <c r="H269" s="13" t="s">
        <v>81</v>
      </c>
      <c r="I269" s="14"/>
      <c r="J269" s="42">
        <v>2000000</v>
      </c>
      <c r="K269" s="58"/>
      <c r="L269" s="1"/>
      <c r="M269" s="36"/>
    </row>
    <row r="270" spans="1:13" s="22" customFormat="1" ht="17.25" customHeight="1">
      <c r="A270" s="65"/>
      <c r="B270" s="7"/>
      <c r="C270" s="6" t="s">
        <v>37</v>
      </c>
      <c r="D270" s="37">
        <v>0</v>
      </c>
      <c r="E270" s="37">
        <v>0</v>
      </c>
      <c r="F270" s="37">
        <f>SUM(J270)</f>
        <v>2000000</v>
      </c>
      <c r="G270" s="56">
        <f>F270-D270</f>
        <v>2000000</v>
      </c>
      <c r="H270" s="8" t="s">
        <v>38</v>
      </c>
      <c r="I270" s="9"/>
      <c r="J270" s="40">
        <v>2000000</v>
      </c>
      <c r="K270" s="56"/>
      <c r="L270" s="1"/>
      <c r="M270" s="36"/>
    </row>
    <row r="271" spans="1:13" s="22" customFormat="1" ht="17.25" customHeight="1">
      <c r="A271" s="7"/>
      <c r="B271" s="7"/>
      <c r="C271" s="6" t="s">
        <v>7</v>
      </c>
      <c r="D271" s="37">
        <v>1500000</v>
      </c>
      <c r="E271" s="37">
        <v>1500000</v>
      </c>
      <c r="F271" s="37">
        <f>SUM(J271)</f>
        <v>1500000</v>
      </c>
      <c r="G271" s="56">
        <f t="shared" si="11"/>
        <v>0</v>
      </c>
      <c r="H271" s="8" t="s">
        <v>101</v>
      </c>
      <c r="I271" s="9"/>
      <c r="J271" s="40">
        <v>1500000</v>
      </c>
      <c r="K271" s="56"/>
      <c r="L271" s="1"/>
      <c r="M271" s="36"/>
    </row>
    <row r="272" spans="1:13" s="22" customFormat="1" ht="17.25" customHeight="1">
      <c r="A272" s="6"/>
      <c r="B272" s="6"/>
      <c r="C272" s="6" t="s">
        <v>67</v>
      </c>
      <c r="D272" s="37">
        <v>5000000</v>
      </c>
      <c r="E272" s="37">
        <v>620000</v>
      </c>
      <c r="F272" s="37">
        <f>SUM(J272)</f>
        <v>2000000</v>
      </c>
      <c r="G272" s="56">
        <f t="shared" si="11"/>
        <v>-3000000</v>
      </c>
      <c r="H272" s="8" t="s">
        <v>68</v>
      </c>
      <c r="I272" s="9"/>
      <c r="J272" s="40">
        <v>2000000</v>
      </c>
      <c r="K272" s="56"/>
      <c r="L272" s="1"/>
      <c r="M272" s="36"/>
    </row>
    <row r="273" spans="1:13" s="22" customFormat="1" ht="17.25" customHeight="1">
      <c r="A273" s="7" t="s">
        <v>51</v>
      </c>
      <c r="B273" s="7" t="s">
        <v>237</v>
      </c>
      <c r="C273" s="6"/>
      <c r="D273" s="37">
        <v>47870000</v>
      </c>
      <c r="E273" s="37">
        <f>SUM(E274:E301)</f>
        <v>44488479</v>
      </c>
      <c r="F273" s="37">
        <f>SUM(F274:F301)</f>
        <v>37420700</v>
      </c>
      <c r="G273" s="56">
        <f>SUM(G274:G301)</f>
        <v>-10449300</v>
      </c>
      <c r="H273" s="8"/>
      <c r="I273" s="9"/>
      <c r="J273" s="42"/>
      <c r="K273" s="56"/>
      <c r="L273" s="1"/>
      <c r="M273" s="36"/>
    </row>
    <row r="274" spans="1:13" s="22" customFormat="1" ht="17.25" customHeight="1">
      <c r="A274" s="7"/>
      <c r="B274" s="7" t="s">
        <v>102</v>
      </c>
      <c r="C274" s="7" t="s">
        <v>71</v>
      </c>
      <c r="D274" s="25">
        <v>1430000</v>
      </c>
      <c r="E274" s="25">
        <v>3317200</v>
      </c>
      <c r="F274" s="25">
        <f>SUM(J274:J278)</f>
        <v>1680000</v>
      </c>
      <c r="G274" s="59">
        <f t="shared" si="11"/>
        <v>250000</v>
      </c>
      <c r="H274" s="10" t="s">
        <v>97</v>
      </c>
      <c r="I274" s="11" t="s">
        <v>213</v>
      </c>
      <c r="J274" s="41">
        <f>110000*2</f>
        <v>220000</v>
      </c>
      <c r="K274" s="59"/>
      <c r="L274" s="1"/>
      <c r="M274" s="36"/>
    </row>
    <row r="275" spans="1:13" s="22" customFormat="1" ht="17.25" customHeight="1">
      <c r="A275" s="7"/>
      <c r="B275" s="7" t="s">
        <v>471</v>
      </c>
      <c r="C275" s="7"/>
      <c r="D275" s="25"/>
      <c r="E275" s="25"/>
      <c r="F275" s="25"/>
      <c r="G275" s="59"/>
      <c r="H275" s="10"/>
      <c r="I275" s="11" t="s">
        <v>214</v>
      </c>
      <c r="J275" s="41">
        <f>99000*2</f>
        <v>198000</v>
      </c>
      <c r="K275" s="59"/>
      <c r="L275" s="1"/>
      <c r="M275" s="36"/>
    </row>
    <row r="276" spans="1:13" s="22" customFormat="1" ht="17.25" customHeight="1">
      <c r="A276" s="7"/>
      <c r="B276" s="7"/>
      <c r="C276" s="7"/>
      <c r="D276" s="25"/>
      <c r="E276" s="25"/>
      <c r="F276" s="25"/>
      <c r="G276" s="59"/>
      <c r="H276" s="10"/>
      <c r="I276" s="11" t="s">
        <v>215</v>
      </c>
      <c r="J276" s="41">
        <f>77000*4</f>
        <v>308000</v>
      </c>
      <c r="K276" s="59"/>
      <c r="L276" s="1"/>
      <c r="M276" s="36"/>
    </row>
    <row r="277" spans="1:13" s="22" customFormat="1" ht="17.25" customHeight="1">
      <c r="A277" s="7"/>
      <c r="B277" s="7"/>
      <c r="C277" s="7"/>
      <c r="D277" s="25"/>
      <c r="E277" s="25"/>
      <c r="F277" s="25"/>
      <c r="G277" s="59"/>
      <c r="H277" s="23" t="s">
        <v>212</v>
      </c>
      <c r="I277" s="11" t="s">
        <v>216</v>
      </c>
      <c r="J277" s="41">
        <f>22000*32</f>
        <v>704000</v>
      </c>
      <c r="K277" s="59"/>
      <c r="L277" s="1"/>
      <c r="M277" s="36"/>
    </row>
    <row r="278" spans="1:13" s="22" customFormat="1" ht="17.25" customHeight="1">
      <c r="A278" s="7"/>
      <c r="B278" s="7"/>
      <c r="C278" s="7"/>
      <c r="D278" s="25"/>
      <c r="E278" s="25"/>
      <c r="F278" s="25"/>
      <c r="G278" s="59"/>
      <c r="H278" s="23" t="s">
        <v>452</v>
      </c>
      <c r="I278" s="11" t="s">
        <v>453</v>
      </c>
      <c r="J278" s="41">
        <v>250000</v>
      </c>
      <c r="K278" s="59"/>
      <c r="L278" s="1"/>
      <c r="M278" s="36"/>
    </row>
    <row r="279" spans="1:13" s="22" customFormat="1" ht="17.25" customHeight="1">
      <c r="A279" s="7"/>
      <c r="B279" s="7"/>
      <c r="C279" s="18" t="s">
        <v>55</v>
      </c>
      <c r="D279" s="53">
        <v>9580000</v>
      </c>
      <c r="E279" s="53">
        <v>7664500</v>
      </c>
      <c r="F279" s="53">
        <f>SUM(J279:J286)</f>
        <v>6740000</v>
      </c>
      <c r="G279" s="57">
        <f>F279-D279</f>
        <v>-2840000</v>
      </c>
      <c r="H279" s="15" t="s">
        <v>77</v>
      </c>
      <c r="I279" s="16" t="s">
        <v>454</v>
      </c>
      <c r="J279" s="43">
        <f>30000*21*5</f>
        <v>3150000</v>
      </c>
      <c r="K279" s="57"/>
      <c r="L279" s="1"/>
      <c r="M279" s="36"/>
    </row>
    <row r="280" spans="1:13" s="22" customFormat="1" ht="17.25" customHeight="1">
      <c r="A280" s="7"/>
      <c r="B280" s="7"/>
      <c r="C280" s="7"/>
      <c r="D280" s="25"/>
      <c r="E280" s="25"/>
      <c r="F280" s="25"/>
      <c r="G280" s="59"/>
      <c r="H280" s="10" t="s">
        <v>78</v>
      </c>
      <c r="I280" s="11" t="s">
        <v>455</v>
      </c>
      <c r="J280" s="41">
        <f>15000*7*5</f>
        <v>525000</v>
      </c>
      <c r="K280" s="59"/>
      <c r="L280" s="1"/>
      <c r="M280" s="36"/>
    </row>
    <row r="281" spans="1:13" s="22" customFormat="1" ht="17.25" customHeight="1">
      <c r="A281" s="7"/>
      <c r="B281" s="7"/>
      <c r="C281" s="7"/>
      <c r="D281" s="25"/>
      <c r="E281" s="25"/>
      <c r="F281" s="25"/>
      <c r="G281" s="59"/>
      <c r="H281" s="10"/>
      <c r="I281" s="11" t="s">
        <v>456</v>
      </c>
      <c r="J281" s="41">
        <f>10000*14*5</f>
        <v>700000</v>
      </c>
      <c r="K281" s="59"/>
      <c r="L281" s="1"/>
      <c r="M281" s="36"/>
    </row>
    <row r="282" spans="1:13" s="22" customFormat="1" ht="17.25" customHeight="1">
      <c r="A282" s="7"/>
      <c r="B282" s="7"/>
      <c r="C282" s="7"/>
      <c r="D282" s="25"/>
      <c r="E282" s="25"/>
      <c r="F282" s="25"/>
      <c r="G282" s="59"/>
      <c r="H282" s="10" t="s">
        <v>56</v>
      </c>
      <c r="I282" s="11" t="s">
        <v>457</v>
      </c>
      <c r="J282" s="41">
        <f>30000*20</f>
        <v>600000</v>
      </c>
      <c r="K282" s="59"/>
      <c r="L282" s="1"/>
      <c r="M282" s="36"/>
    </row>
    <row r="283" spans="1:13" s="22" customFormat="1" ht="17.25" customHeight="1">
      <c r="A283" s="7"/>
      <c r="B283" s="7"/>
      <c r="C283" s="7"/>
      <c r="D283" s="25"/>
      <c r="E283" s="25"/>
      <c r="F283" s="25"/>
      <c r="G283" s="59"/>
      <c r="H283" s="10"/>
      <c r="I283" s="11" t="s">
        <v>458</v>
      </c>
      <c r="J283" s="41">
        <f>50000*1</f>
        <v>50000</v>
      </c>
      <c r="K283" s="59"/>
      <c r="L283" s="1"/>
      <c r="M283" s="36"/>
    </row>
    <row r="284" spans="1:13" s="22" customFormat="1" ht="17.25" customHeight="1">
      <c r="A284" s="7"/>
      <c r="B284" s="7"/>
      <c r="C284" s="7"/>
      <c r="D284" s="25"/>
      <c r="E284" s="25"/>
      <c r="F284" s="25"/>
      <c r="G284" s="59"/>
      <c r="H284" s="10" t="s">
        <v>270</v>
      </c>
      <c r="I284" s="11" t="s">
        <v>459</v>
      </c>
      <c r="J284" s="41">
        <f>50000*4*5</f>
        <v>1000000</v>
      </c>
      <c r="K284" s="59"/>
      <c r="L284" s="1"/>
      <c r="M284" s="36"/>
    </row>
    <row r="285" spans="1:13" s="22" customFormat="1" ht="17.25" customHeight="1">
      <c r="A285" s="7"/>
      <c r="B285" s="7"/>
      <c r="C285" s="7"/>
      <c r="D285" s="25"/>
      <c r="E285" s="25"/>
      <c r="F285" s="25"/>
      <c r="G285" s="59"/>
      <c r="H285" s="10" t="s">
        <v>269</v>
      </c>
      <c r="I285" s="11" t="s">
        <v>460</v>
      </c>
      <c r="J285" s="41">
        <f>3000*21*5</f>
        <v>315000</v>
      </c>
      <c r="K285" s="59"/>
      <c r="L285" s="1"/>
      <c r="M285" s="36"/>
    </row>
    <row r="286" spans="1:13" s="22" customFormat="1" ht="17.25" customHeight="1">
      <c r="A286" s="7"/>
      <c r="B286" s="7"/>
      <c r="C286" s="6"/>
      <c r="D286" s="37"/>
      <c r="E286" s="37"/>
      <c r="F286" s="37"/>
      <c r="G286" s="56"/>
      <c r="H286" s="8" t="s">
        <v>461</v>
      </c>
      <c r="I286" s="9"/>
      <c r="J286" s="40">
        <v>400000</v>
      </c>
      <c r="K286" s="56"/>
      <c r="L286" s="1"/>
      <c r="M286" s="36"/>
    </row>
    <row r="287" spans="1:13" s="22" customFormat="1" ht="17.25" customHeight="1">
      <c r="A287" s="7"/>
      <c r="B287" s="7"/>
      <c r="C287" s="6" t="s">
        <v>54</v>
      </c>
      <c r="D287" s="37">
        <v>8000000</v>
      </c>
      <c r="E287" s="37">
        <v>14737900</v>
      </c>
      <c r="F287" s="37">
        <f>SUM(J287)</f>
        <v>0</v>
      </c>
      <c r="G287" s="56">
        <f>F287-D287</f>
        <v>-8000000</v>
      </c>
      <c r="H287" s="8"/>
      <c r="I287" s="9"/>
      <c r="J287" s="40"/>
      <c r="K287" s="56"/>
      <c r="L287" s="1"/>
      <c r="M287" s="36"/>
    </row>
    <row r="288" spans="1:13" s="22" customFormat="1" ht="17.25" customHeight="1">
      <c r="A288" s="7"/>
      <c r="B288" s="7"/>
      <c r="C288" s="18" t="s">
        <v>16</v>
      </c>
      <c r="D288" s="53">
        <v>3000000</v>
      </c>
      <c r="E288" s="53">
        <v>3449000</v>
      </c>
      <c r="F288" s="53">
        <f>SUM(J288:J289)</f>
        <v>5078700</v>
      </c>
      <c r="G288" s="57">
        <f>F288-D288</f>
        <v>2078700</v>
      </c>
      <c r="H288" s="15" t="s">
        <v>103</v>
      </c>
      <c r="I288" s="16" t="s">
        <v>470</v>
      </c>
      <c r="J288" s="43">
        <f>15400*300</f>
        <v>4620000</v>
      </c>
      <c r="K288" s="57"/>
      <c r="L288" s="1"/>
      <c r="M288" s="36"/>
    </row>
    <row r="289" spans="1:13" s="22" customFormat="1" ht="17.25" customHeight="1">
      <c r="A289" s="7"/>
      <c r="B289" s="7"/>
      <c r="C289" s="6"/>
      <c r="D289" s="37"/>
      <c r="E289" s="37"/>
      <c r="F289" s="37"/>
      <c r="G289" s="56"/>
      <c r="H289" s="8" t="s">
        <v>79</v>
      </c>
      <c r="I289" s="9"/>
      <c r="J289" s="40">
        <f>95700+363000</f>
        <v>458700</v>
      </c>
      <c r="K289" s="56"/>
      <c r="L289" s="1"/>
      <c r="M289" s="36"/>
    </row>
    <row r="290" spans="1:13" s="22" customFormat="1" ht="17.25" customHeight="1">
      <c r="A290" s="7"/>
      <c r="B290" s="7"/>
      <c r="C290" s="7" t="s">
        <v>35</v>
      </c>
      <c r="D290" s="25">
        <v>1860000</v>
      </c>
      <c r="E290" s="25">
        <v>2730520</v>
      </c>
      <c r="F290" s="25">
        <f>SUM(J290:J291)</f>
        <v>4092000</v>
      </c>
      <c r="G290" s="59">
        <f>F290-D290</f>
        <v>2232000</v>
      </c>
      <c r="H290" s="10" t="s">
        <v>211</v>
      </c>
      <c r="I290" s="11" t="s">
        <v>463</v>
      </c>
      <c r="J290" s="41">
        <f>198000*2*2</f>
        <v>792000</v>
      </c>
      <c r="K290" s="59"/>
      <c r="L290" s="1"/>
      <c r="M290" s="36"/>
    </row>
    <row r="291" spans="1:13" s="22" customFormat="1" ht="17.25" customHeight="1">
      <c r="A291" s="7"/>
      <c r="B291" s="7"/>
      <c r="C291" s="6"/>
      <c r="D291" s="37"/>
      <c r="E291" s="37"/>
      <c r="F291" s="37"/>
      <c r="G291" s="56"/>
      <c r="H291" s="8" t="s">
        <v>462</v>
      </c>
      <c r="I291" s="9"/>
      <c r="J291" s="40">
        <v>3300000</v>
      </c>
      <c r="K291" s="56"/>
      <c r="L291" s="1"/>
      <c r="M291" s="36"/>
    </row>
    <row r="292" spans="1:13" s="22" customFormat="1" ht="17.25" customHeight="1">
      <c r="A292" s="7"/>
      <c r="B292" s="7"/>
      <c r="C292" s="12" t="s">
        <v>65</v>
      </c>
      <c r="D292" s="35">
        <v>4500000</v>
      </c>
      <c r="E292" s="35">
        <v>4715000</v>
      </c>
      <c r="F292" s="35">
        <f>SUM(J292:J292)</f>
        <v>0</v>
      </c>
      <c r="G292" s="58">
        <f>F292-D292</f>
        <v>-4500000</v>
      </c>
      <c r="H292" s="13"/>
      <c r="I292" s="14"/>
      <c r="J292" s="30"/>
      <c r="K292" s="58"/>
      <c r="L292" s="1"/>
      <c r="M292" s="36"/>
    </row>
    <row r="293" spans="1:13" s="22" customFormat="1" ht="17.25" customHeight="1">
      <c r="A293" s="7"/>
      <c r="B293" s="7"/>
      <c r="C293" s="6" t="s">
        <v>61</v>
      </c>
      <c r="D293" s="37">
        <v>1000000</v>
      </c>
      <c r="E293" s="37">
        <v>2715859</v>
      </c>
      <c r="F293" s="37">
        <f>SUM(J293)</f>
        <v>2000000</v>
      </c>
      <c r="G293" s="56">
        <f t="shared" ref="G293:G301" si="12">F293-D293</f>
        <v>1000000</v>
      </c>
      <c r="H293" s="8" t="s">
        <v>81</v>
      </c>
      <c r="I293" s="9"/>
      <c r="J293" s="40">
        <v>2000000</v>
      </c>
      <c r="K293" s="56"/>
      <c r="L293" s="1"/>
      <c r="M293" s="36"/>
    </row>
    <row r="294" spans="1:13" s="22" customFormat="1" ht="17.25" customHeight="1">
      <c r="A294" s="7"/>
      <c r="B294" s="7"/>
      <c r="C294" s="12" t="s">
        <v>45</v>
      </c>
      <c r="D294" s="35">
        <v>1000000</v>
      </c>
      <c r="E294" s="35">
        <v>1549000</v>
      </c>
      <c r="F294" s="35">
        <f>SUM(J294:J294)</f>
        <v>2000000</v>
      </c>
      <c r="G294" s="58">
        <f t="shared" si="12"/>
        <v>1000000</v>
      </c>
      <c r="H294" s="13" t="s">
        <v>60</v>
      </c>
      <c r="I294" s="14" t="s">
        <v>468</v>
      </c>
      <c r="J294" s="42">
        <v>2000000</v>
      </c>
      <c r="K294" s="58"/>
      <c r="L294" s="1"/>
      <c r="M294" s="36"/>
    </row>
    <row r="295" spans="1:13" s="22" customFormat="1" ht="17.25" customHeight="1">
      <c r="A295" s="7"/>
      <c r="B295" s="7"/>
      <c r="C295" s="12" t="s">
        <v>63</v>
      </c>
      <c r="D295" s="35">
        <v>1000000</v>
      </c>
      <c r="E295" s="35">
        <v>1198000</v>
      </c>
      <c r="F295" s="35">
        <f>J295</f>
        <v>2000000</v>
      </c>
      <c r="G295" s="58">
        <f t="shared" si="12"/>
        <v>1000000</v>
      </c>
      <c r="H295" s="13" t="s">
        <v>80</v>
      </c>
      <c r="I295" s="14" t="s">
        <v>468</v>
      </c>
      <c r="J295" s="42">
        <v>2000000</v>
      </c>
      <c r="K295" s="58"/>
      <c r="L295" s="1"/>
      <c r="M295" s="36"/>
    </row>
    <row r="296" spans="1:13" s="22" customFormat="1" ht="17.25" customHeight="1">
      <c r="A296" s="7"/>
      <c r="B296" s="7"/>
      <c r="C296" s="6" t="s">
        <v>58</v>
      </c>
      <c r="D296" s="37">
        <v>1500000</v>
      </c>
      <c r="E296" s="37">
        <v>1755000</v>
      </c>
      <c r="F296" s="37">
        <f>SUM(J296)</f>
        <v>2500000</v>
      </c>
      <c r="G296" s="58">
        <f t="shared" si="12"/>
        <v>1000000</v>
      </c>
      <c r="H296" s="8" t="s">
        <v>100</v>
      </c>
      <c r="I296" s="9" t="s">
        <v>469</v>
      </c>
      <c r="J296" s="40">
        <f>50000*10*5</f>
        <v>2500000</v>
      </c>
      <c r="K296" s="58"/>
      <c r="L296" s="1"/>
      <c r="M296" s="36"/>
    </row>
    <row r="297" spans="1:13" s="22" customFormat="1" ht="17.25" customHeight="1">
      <c r="A297" s="7"/>
      <c r="B297" s="7"/>
      <c r="C297" s="7" t="s">
        <v>37</v>
      </c>
      <c r="D297" s="25">
        <v>10000000</v>
      </c>
      <c r="E297" s="25">
        <v>0</v>
      </c>
      <c r="F297" s="25">
        <f>SUM(J297:J300)</f>
        <v>10330000</v>
      </c>
      <c r="G297" s="57">
        <f t="shared" si="12"/>
        <v>330000</v>
      </c>
      <c r="H297" s="10" t="s">
        <v>95</v>
      </c>
      <c r="I297" s="11" t="s">
        <v>467</v>
      </c>
      <c r="J297" s="41">
        <v>2000000</v>
      </c>
      <c r="K297" s="57"/>
      <c r="L297" s="1"/>
      <c r="M297" s="36"/>
    </row>
    <row r="298" spans="1:13" s="22" customFormat="1" ht="17.25" customHeight="1">
      <c r="A298" s="7"/>
      <c r="B298" s="7"/>
      <c r="C298" s="7"/>
      <c r="D298" s="25"/>
      <c r="E298" s="25"/>
      <c r="F298" s="25"/>
      <c r="G298" s="59"/>
      <c r="H298" s="10" t="s">
        <v>38</v>
      </c>
      <c r="I298" s="11"/>
      <c r="J298" s="41">
        <v>3000000</v>
      </c>
      <c r="K298" s="59"/>
      <c r="L298" s="1"/>
      <c r="M298" s="36"/>
    </row>
    <row r="299" spans="1:13" s="22" customFormat="1" ht="17.25" customHeight="1">
      <c r="A299" s="7"/>
      <c r="B299" s="7"/>
      <c r="C299" s="7"/>
      <c r="D299" s="25"/>
      <c r="E299" s="25"/>
      <c r="F299" s="25"/>
      <c r="G299" s="59"/>
      <c r="H299" s="10" t="s">
        <v>464</v>
      </c>
      <c r="I299" s="11" t="s">
        <v>465</v>
      </c>
      <c r="J299" s="41">
        <f>33000*10</f>
        <v>330000</v>
      </c>
      <c r="K299" s="59"/>
      <c r="L299" s="1"/>
      <c r="M299" s="36"/>
    </row>
    <row r="300" spans="1:13" s="22" customFormat="1" ht="17.25" customHeight="1">
      <c r="A300" s="7"/>
      <c r="B300" s="7"/>
      <c r="C300" s="6"/>
      <c r="D300" s="37"/>
      <c r="E300" s="37"/>
      <c r="F300" s="37"/>
      <c r="G300" s="56"/>
      <c r="H300" s="8" t="s">
        <v>466</v>
      </c>
      <c r="I300" s="9"/>
      <c r="J300" s="40">
        <v>5000000</v>
      </c>
      <c r="K300" s="56"/>
      <c r="L300" s="1"/>
      <c r="M300" s="36"/>
    </row>
    <row r="301" spans="1:13" s="22" customFormat="1" ht="17.25" customHeight="1">
      <c r="A301" s="6"/>
      <c r="B301" s="6"/>
      <c r="C301" s="6" t="s">
        <v>217</v>
      </c>
      <c r="D301" s="37">
        <v>5000000</v>
      </c>
      <c r="E301" s="37">
        <v>656500</v>
      </c>
      <c r="F301" s="37">
        <f>J301</f>
        <v>1000000</v>
      </c>
      <c r="G301" s="58">
        <f t="shared" si="12"/>
        <v>-4000000</v>
      </c>
      <c r="H301" s="8" t="s">
        <v>218</v>
      </c>
      <c r="I301" s="9"/>
      <c r="J301" s="40">
        <v>1000000</v>
      </c>
      <c r="K301" s="58"/>
      <c r="L301" s="1"/>
      <c r="M301" s="36"/>
    </row>
    <row r="302" spans="1:13" s="22" customFormat="1" ht="16.5" customHeight="1">
      <c r="A302" s="7" t="s">
        <v>51</v>
      </c>
      <c r="B302" s="7" t="s">
        <v>346</v>
      </c>
      <c r="C302" s="6"/>
      <c r="D302" s="37">
        <v>44290000</v>
      </c>
      <c r="E302" s="37"/>
      <c r="F302" s="37">
        <f>SUM(F303:F332)</f>
        <v>70585400</v>
      </c>
      <c r="G302" s="56">
        <f>SUM(G303:G332)</f>
        <v>26295400</v>
      </c>
      <c r="H302" s="8"/>
      <c r="I302" s="9"/>
      <c r="J302" s="42"/>
      <c r="K302" s="56"/>
      <c r="L302" s="1"/>
      <c r="M302" s="36"/>
    </row>
    <row r="303" spans="1:13" s="22" customFormat="1" ht="16.5" customHeight="1">
      <c r="A303" s="7"/>
      <c r="B303" s="7" t="s">
        <v>102</v>
      </c>
      <c r="C303" s="7" t="s">
        <v>71</v>
      </c>
      <c r="D303" s="25">
        <v>1430000</v>
      </c>
      <c r="E303" s="25">
        <v>0</v>
      </c>
      <c r="F303" s="25">
        <f>SUM(J303:J306)</f>
        <v>1830400</v>
      </c>
      <c r="G303" s="59">
        <f>F303-D303</f>
        <v>400400</v>
      </c>
      <c r="H303" s="10" t="s">
        <v>97</v>
      </c>
      <c r="I303" s="11" t="s">
        <v>561</v>
      </c>
      <c r="J303" s="41">
        <f>165000*2</f>
        <v>330000</v>
      </c>
      <c r="K303" s="59"/>
      <c r="L303" s="1"/>
      <c r="M303" s="36"/>
    </row>
    <row r="304" spans="1:13" s="22" customFormat="1" ht="16.5" customHeight="1">
      <c r="A304" s="7"/>
      <c r="B304" s="7"/>
      <c r="C304" s="7"/>
      <c r="D304" s="25"/>
      <c r="E304" s="25"/>
      <c r="F304" s="25"/>
      <c r="G304" s="59"/>
      <c r="H304" s="10"/>
      <c r="I304" s="11" t="s">
        <v>562</v>
      </c>
      <c r="J304" s="41">
        <f>143000*2</f>
        <v>286000</v>
      </c>
      <c r="K304" s="59"/>
      <c r="L304" s="1"/>
      <c r="M304" s="36"/>
    </row>
    <row r="305" spans="1:13" s="22" customFormat="1" ht="16.5" customHeight="1">
      <c r="A305" s="7"/>
      <c r="B305" s="7"/>
      <c r="C305" s="7"/>
      <c r="D305" s="25"/>
      <c r="E305" s="25"/>
      <c r="F305" s="25"/>
      <c r="G305" s="59"/>
      <c r="H305" s="10"/>
      <c r="I305" s="11" t="s">
        <v>563</v>
      </c>
      <c r="J305" s="41">
        <f>110000*4</f>
        <v>440000</v>
      </c>
      <c r="K305" s="59"/>
      <c r="L305" s="1"/>
      <c r="M305" s="36"/>
    </row>
    <row r="306" spans="1:13" s="22" customFormat="1" ht="16.5" customHeight="1">
      <c r="A306" s="7"/>
      <c r="B306" s="7"/>
      <c r="C306" s="7"/>
      <c r="D306" s="25"/>
      <c r="E306" s="25"/>
      <c r="F306" s="25"/>
      <c r="G306" s="59"/>
      <c r="H306" s="23" t="s">
        <v>212</v>
      </c>
      <c r="I306" s="11" t="s">
        <v>564</v>
      </c>
      <c r="J306" s="41">
        <f>24200*32</f>
        <v>774400</v>
      </c>
      <c r="K306" s="59"/>
      <c r="L306" s="1"/>
      <c r="M306" s="36"/>
    </row>
    <row r="307" spans="1:13" s="22" customFormat="1" ht="16.5" customHeight="1">
      <c r="A307" s="65"/>
      <c r="B307" s="65"/>
      <c r="C307" s="18" t="s">
        <v>55</v>
      </c>
      <c r="D307" s="53">
        <v>6000000</v>
      </c>
      <c r="E307" s="53">
        <v>0</v>
      </c>
      <c r="F307" s="53">
        <f>SUM(J307:J315)</f>
        <v>7040000</v>
      </c>
      <c r="G307" s="57">
        <f>F307-D307</f>
        <v>1040000</v>
      </c>
      <c r="H307" s="15" t="s">
        <v>77</v>
      </c>
      <c r="I307" s="16" t="s">
        <v>454</v>
      </c>
      <c r="J307" s="43">
        <f>30000*21*5</f>
        <v>3150000</v>
      </c>
      <c r="K307" s="57"/>
      <c r="L307" s="1"/>
      <c r="M307" s="36"/>
    </row>
    <row r="308" spans="1:13" s="22" customFormat="1" ht="16.5" customHeight="1">
      <c r="A308" s="7"/>
      <c r="B308" s="65"/>
      <c r="C308" s="7"/>
      <c r="D308" s="25"/>
      <c r="E308" s="25"/>
      <c r="F308" s="25"/>
      <c r="G308" s="59"/>
      <c r="H308" s="10" t="s">
        <v>78</v>
      </c>
      <c r="I308" s="11" t="s">
        <v>565</v>
      </c>
      <c r="J308" s="41">
        <f>15000*7*5</f>
        <v>525000</v>
      </c>
      <c r="K308" s="59"/>
      <c r="L308" s="1"/>
      <c r="M308" s="36"/>
    </row>
    <row r="309" spans="1:13" s="22" customFormat="1" ht="16.5" customHeight="1">
      <c r="A309" s="7"/>
      <c r="B309" s="65"/>
      <c r="C309" s="7"/>
      <c r="D309" s="25"/>
      <c r="E309" s="25"/>
      <c r="F309" s="25"/>
      <c r="G309" s="59"/>
      <c r="H309" s="10"/>
      <c r="I309" s="11" t="s">
        <v>456</v>
      </c>
      <c r="J309" s="41">
        <f>10000*14*5</f>
        <v>700000</v>
      </c>
      <c r="K309" s="59"/>
      <c r="L309" s="1"/>
      <c r="M309" s="36"/>
    </row>
    <row r="310" spans="1:13" s="22" customFormat="1" ht="16.5" customHeight="1">
      <c r="A310" s="7"/>
      <c r="B310" s="7"/>
      <c r="C310" s="7"/>
      <c r="D310" s="25"/>
      <c r="E310" s="25"/>
      <c r="F310" s="25"/>
      <c r="G310" s="59"/>
      <c r="H310" s="10" t="s">
        <v>56</v>
      </c>
      <c r="I310" s="11" t="s">
        <v>457</v>
      </c>
      <c r="J310" s="41">
        <f>30000*20</f>
        <v>600000</v>
      </c>
      <c r="K310" s="59"/>
      <c r="L310" s="1"/>
      <c r="M310" s="36"/>
    </row>
    <row r="311" spans="1:13" s="22" customFormat="1" ht="16.5" customHeight="1">
      <c r="A311" s="7"/>
      <c r="B311" s="7"/>
      <c r="C311" s="7"/>
      <c r="D311" s="25"/>
      <c r="E311" s="25"/>
      <c r="F311" s="25"/>
      <c r="G311" s="59"/>
      <c r="H311" s="10"/>
      <c r="I311" s="11" t="s">
        <v>458</v>
      </c>
      <c r="J311" s="41">
        <v>50000</v>
      </c>
      <c r="K311" s="59"/>
      <c r="L311" s="1"/>
      <c r="M311" s="36"/>
    </row>
    <row r="312" spans="1:13" s="22" customFormat="1" ht="16.5" customHeight="1">
      <c r="A312" s="7"/>
      <c r="B312" s="7"/>
      <c r="C312" s="7"/>
      <c r="D312" s="25"/>
      <c r="E312" s="25"/>
      <c r="F312" s="25"/>
      <c r="G312" s="59"/>
      <c r="H312" s="10" t="s">
        <v>57</v>
      </c>
      <c r="I312" s="11" t="s">
        <v>667</v>
      </c>
      <c r="J312" s="41">
        <f>50000*4*5</f>
        <v>1000000</v>
      </c>
      <c r="K312" s="59"/>
      <c r="L312" s="1"/>
      <c r="M312" s="36"/>
    </row>
    <row r="313" spans="1:13" s="22" customFormat="1" ht="16.5" customHeight="1">
      <c r="A313" s="7"/>
      <c r="B313" s="7"/>
      <c r="C313" s="7"/>
      <c r="D313" s="25"/>
      <c r="E313" s="25"/>
      <c r="F313" s="25"/>
      <c r="G313" s="59"/>
      <c r="H313" s="10" t="s">
        <v>267</v>
      </c>
      <c r="I313" s="11" t="s">
        <v>460</v>
      </c>
      <c r="J313" s="41">
        <f>3000*21*5</f>
        <v>315000</v>
      </c>
      <c r="K313" s="59"/>
      <c r="L313" s="1"/>
      <c r="M313" s="36"/>
    </row>
    <row r="314" spans="1:13" s="22" customFormat="1" ht="16.5" customHeight="1">
      <c r="A314" s="7"/>
      <c r="B314" s="7"/>
      <c r="C314" s="7"/>
      <c r="D314" s="25"/>
      <c r="E314" s="25"/>
      <c r="F314" s="25"/>
      <c r="G314" s="59"/>
      <c r="H314" s="10" t="s">
        <v>461</v>
      </c>
      <c r="I314" s="11"/>
      <c r="J314" s="41">
        <v>400000</v>
      </c>
      <c r="K314" s="59"/>
      <c r="L314" s="1"/>
      <c r="M314" s="36"/>
    </row>
    <row r="315" spans="1:13" s="22" customFormat="1" ht="16.5" customHeight="1">
      <c r="A315" s="7"/>
      <c r="B315" s="7"/>
      <c r="C315" s="6"/>
      <c r="D315" s="37"/>
      <c r="E315" s="37"/>
      <c r="F315" s="37"/>
      <c r="G315" s="56"/>
      <c r="H315" s="8" t="s">
        <v>93</v>
      </c>
      <c r="I315" s="9"/>
      <c r="J315" s="40">
        <v>300000</v>
      </c>
      <c r="K315" s="56"/>
      <c r="L315" s="1"/>
      <c r="M315" s="36"/>
    </row>
    <row r="316" spans="1:13" s="22" customFormat="1" ht="16.5" customHeight="1">
      <c r="A316" s="7"/>
      <c r="B316" s="7"/>
      <c r="C316" s="6" t="s">
        <v>54</v>
      </c>
      <c r="D316" s="37">
        <v>8000000</v>
      </c>
      <c r="E316" s="37">
        <v>0</v>
      </c>
      <c r="F316" s="37">
        <f>SUM(J316)</f>
        <v>0</v>
      </c>
      <c r="G316" s="56">
        <f>F316-D316</f>
        <v>-8000000</v>
      </c>
      <c r="H316" s="8"/>
      <c r="I316" s="9"/>
      <c r="J316" s="40"/>
      <c r="K316" s="56"/>
      <c r="L316" s="1"/>
      <c r="M316" s="36"/>
    </row>
    <row r="317" spans="1:13" s="22" customFormat="1" ht="16.5" customHeight="1">
      <c r="A317" s="7"/>
      <c r="B317" s="7"/>
      <c r="C317" s="7" t="s">
        <v>16</v>
      </c>
      <c r="D317" s="25">
        <v>3000000</v>
      </c>
      <c r="E317" s="25">
        <v>0</v>
      </c>
      <c r="F317" s="25">
        <f>SUM(J317:J321)</f>
        <v>6095000</v>
      </c>
      <c r="G317" s="59">
        <f>F317-D317</f>
        <v>3095000</v>
      </c>
      <c r="H317" s="10" t="s">
        <v>103</v>
      </c>
      <c r="I317" s="11" t="s">
        <v>566</v>
      </c>
      <c r="J317" s="41">
        <f>12840*300</f>
        <v>3852000</v>
      </c>
      <c r="K317" s="59"/>
      <c r="L317" s="1"/>
      <c r="M317" s="36"/>
    </row>
    <row r="318" spans="1:13" s="22" customFormat="1" ht="16.5" customHeight="1">
      <c r="A318" s="7"/>
      <c r="B318" s="7"/>
      <c r="C318" s="7"/>
      <c r="D318" s="25"/>
      <c r="E318" s="25"/>
      <c r="F318" s="25"/>
      <c r="G318" s="59"/>
      <c r="H318" s="10" t="s">
        <v>529</v>
      </c>
      <c r="I318" s="11" t="s">
        <v>530</v>
      </c>
      <c r="J318" s="41">
        <f>2200*200</f>
        <v>440000</v>
      </c>
      <c r="K318" s="59"/>
      <c r="L318" s="1"/>
      <c r="M318" s="36"/>
    </row>
    <row r="319" spans="1:13" s="22" customFormat="1" ht="16.5" customHeight="1">
      <c r="A319" s="7"/>
      <c r="B319" s="7"/>
      <c r="C319" s="7"/>
      <c r="D319" s="25"/>
      <c r="E319" s="25"/>
      <c r="F319" s="25"/>
      <c r="G319" s="59"/>
      <c r="H319" s="10" t="s">
        <v>531</v>
      </c>
      <c r="I319" s="11" t="s">
        <v>532</v>
      </c>
      <c r="J319" s="41">
        <f>3630*100</f>
        <v>363000</v>
      </c>
      <c r="K319" s="59"/>
      <c r="L319" s="1"/>
      <c r="M319" s="36"/>
    </row>
    <row r="320" spans="1:13" s="22" customFormat="1" ht="16.5" customHeight="1">
      <c r="A320" s="7"/>
      <c r="B320" s="7"/>
      <c r="C320" s="7"/>
      <c r="D320" s="25"/>
      <c r="E320" s="25"/>
      <c r="F320" s="25"/>
      <c r="G320" s="59"/>
      <c r="H320" s="10" t="s">
        <v>567</v>
      </c>
      <c r="I320" s="11"/>
      <c r="J320" s="41">
        <v>440000</v>
      </c>
      <c r="K320" s="59"/>
      <c r="L320" s="1"/>
      <c r="M320" s="36"/>
    </row>
    <row r="321" spans="1:13" s="22" customFormat="1" ht="16.5" customHeight="1">
      <c r="A321" s="7"/>
      <c r="B321" s="7"/>
      <c r="C321" s="6"/>
      <c r="D321" s="37"/>
      <c r="E321" s="37"/>
      <c r="F321" s="37"/>
      <c r="G321" s="56"/>
      <c r="H321" s="8" t="s">
        <v>568</v>
      </c>
      <c r="I321" s="9"/>
      <c r="J321" s="40">
        <v>1000000</v>
      </c>
      <c r="K321" s="56"/>
      <c r="L321" s="1"/>
      <c r="M321" s="36"/>
    </row>
    <row r="322" spans="1:13" s="22" customFormat="1" ht="16.5" customHeight="1">
      <c r="A322" s="7"/>
      <c r="B322" s="7"/>
      <c r="C322" s="6" t="s">
        <v>58</v>
      </c>
      <c r="D322" s="37">
        <v>1500000</v>
      </c>
      <c r="E322" s="37">
        <v>0</v>
      </c>
      <c r="F322" s="37">
        <f>SUM(J322)</f>
        <v>2500000</v>
      </c>
      <c r="G322" s="58">
        <f>F322-D322</f>
        <v>1000000</v>
      </c>
      <c r="H322" s="8" t="s">
        <v>59</v>
      </c>
      <c r="I322" s="9" t="s">
        <v>469</v>
      </c>
      <c r="J322" s="40">
        <f>50000*10*5</f>
        <v>2500000</v>
      </c>
      <c r="K322" s="58"/>
      <c r="L322" s="1"/>
      <c r="M322" s="36"/>
    </row>
    <row r="323" spans="1:13" s="22" customFormat="1" ht="16.5" customHeight="1">
      <c r="A323" s="7"/>
      <c r="B323" s="7"/>
      <c r="C323" s="12" t="s">
        <v>63</v>
      </c>
      <c r="D323" s="35">
        <v>1000000</v>
      </c>
      <c r="E323" s="35">
        <v>0</v>
      </c>
      <c r="F323" s="35">
        <f>J323</f>
        <v>2000000</v>
      </c>
      <c r="G323" s="58">
        <f>F323-D323</f>
        <v>1000000</v>
      </c>
      <c r="H323" s="13" t="s">
        <v>80</v>
      </c>
      <c r="I323" s="14"/>
      <c r="J323" s="42">
        <v>2000000</v>
      </c>
      <c r="K323" s="58"/>
      <c r="L323" s="1"/>
      <c r="M323" s="36"/>
    </row>
    <row r="324" spans="1:13" s="22" customFormat="1" ht="16.5" customHeight="1">
      <c r="A324" s="7"/>
      <c r="B324" s="7"/>
      <c r="C324" s="12" t="s">
        <v>45</v>
      </c>
      <c r="D324" s="35">
        <v>1000000</v>
      </c>
      <c r="E324" s="35">
        <v>0</v>
      </c>
      <c r="F324" s="35">
        <f>SUM(J324:J324)</f>
        <v>2000000</v>
      </c>
      <c r="G324" s="58">
        <f>F324-D324</f>
        <v>1000000</v>
      </c>
      <c r="H324" s="13" t="s">
        <v>60</v>
      </c>
      <c r="I324" s="14"/>
      <c r="J324" s="42">
        <v>2000000</v>
      </c>
      <c r="K324" s="58"/>
      <c r="L324" s="1"/>
      <c r="M324" s="36"/>
    </row>
    <row r="325" spans="1:13" s="22" customFormat="1" ht="16.5" customHeight="1">
      <c r="A325" s="7"/>
      <c r="B325" s="7"/>
      <c r="C325" s="6" t="s">
        <v>61</v>
      </c>
      <c r="D325" s="37">
        <v>1000000</v>
      </c>
      <c r="E325" s="37">
        <v>0</v>
      </c>
      <c r="F325" s="37">
        <f>SUM(J325)</f>
        <v>2000000</v>
      </c>
      <c r="G325" s="56">
        <f>F325-D325</f>
        <v>1000000</v>
      </c>
      <c r="H325" s="8" t="s">
        <v>81</v>
      </c>
      <c r="I325" s="9"/>
      <c r="J325" s="42">
        <v>2000000</v>
      </c>
      <c r="K325" s="56"/>
      <c r="L325" s="1"/>
      <c r="M325" s="36"/>
    </row>
    <row r="326" spans="1:13" s="22" customFormat="1" ht="16.5" customHeight="1">
      <c r="A326" s="7"/>
      <c r="B326" s="7"/>
      <c r="C326" s="7" t="s">
        <v>35</v>
      </c>
      <c r="D326" s="25">
        <v>1860000</v>
      </c>
      <c r="E326" s="25">
        <v>0</v>
      </c>
      <c r="F326" s="25">
        <f>SUM(J326:J327)</f>
        <v>4020000</v>
      </c>
      <c r="G326" s="59">
        <f>F326-D326</f>
        <v>2160000</v>
      </c>
      <c r="H326" s="10" t="s">
        <v>478</v>
      </c>
      <c r="I326" s="11" t="s">
        <v>569</v>
      </c>
      <c r="J326" s="41">
        <f>360000*2</f>
        <v>720000</v>
      </c>
      <c r="K326" s="59"/>
      <c r="L326" s="1"/>
      <c r="M326" s="36"/>
    </row>
    <row r="327" spans="1:13" s="22" customFormat="1" ht="16.5" customHeight="1">
      <c r="A327" s="7"/>
      <c r="B327" s="7"/>
      <c r="C327" s="6"/>
      <c r="D327" s="37"/>
      <c r="E327" s="37"/>
      <c r="F327" s="37"/>
      <c r="G327" s="56"/>
      <c r="H327" s="8" t="s">
        <v>198</v>
      </c>
      <c r="I327" s="9"/>
      <c r="J327" s="40">
        <v>3300000</v>
      </c>
      <c r="K327" s="56"/>
      <c r="L327" s="1"/>
      <c r="M327" s="36"/>
    </row>
    <row r="328" spans="1:13" s="22" customFormat="1" ht="16.5" customHeight="1">
      <c r="A328" s="7"/>
      <c r="B328" s="7"/>
      <c r="C328" s="7" t="s">
        <v>37</v>
      </c>
      <c r="D328" s="25">
        <v>10000000</v>
      </c>
      <c r="E328" s="25">
        <v>0</v>
      </c>
      <c r="F328" s="25">
        <f>SUM(J328:J330)</f>
        <v>40000000</v>
      </c>
      <c r="G328" s="57">
        <f>F328-D328</f>
        <v>30000000</v>
      </c>
      <c r="H328" s="10" t="s">
        <v>95</v>
      </c>
      <c r="I328" s="11"/>
      <c r="J328" s="41">
        <v>25000000</v>
      </c>
      <c r="K328" s="57"/>
      <c r="L328" s="1"/>
      <c r="M328" s="36"/>
    </row>
    <row r="329" spans="1:13" s="22" customFormat="1" ht="16.5" customHeight="1">
      <c r="A329" s="7"/>
      <c r="B329" s="7"/>
      <c r="C329" s="7"/>
      <c r="D329" s="25"/>
      <c r="E329" s="25"/>
      <c r="F329" s="25"/>
      <c r="G329" s="59"/>
      <c r="H329" s="10" t="s">
        <v>38</v>
      </c>
      <c r="I329" s="11"/>
      <c r="J329" s="41">
        <v>5000000</v>
      </c>
      <c r="K329" s="59"/>
      <c r="L329" s="1"/>
      <c r="M329" s="36"/>
    </row>
    <row r="330" spans="1:13" s="22" customFormat="1" ht="16.5" customHeight="1">
      <c r="A330" s="7"/>
      <c r="B330" s="7"/>
      <c r="C330" s="6"/>
      <c r="D330" s="37"/>
      <c r="E330" s="37"/>
      <c r="F330" s="37"/>
      <c r="G330" s="56"/>
      <c r="H330" s="8" t="s">
        <v>466</v>
      </c>
      <c r="I330" s="9"/>
      <c r="J330" s="40">
        <v>10000000</v>
      </c>
      <c r="K330" s="56"/>
      <c r="L330" s="1"/>
      <c r="M330" s="36"/>
    </row>
    <row r="331" spans="1:13" s="22" customFormat="1" ht="16.5" customHeight="1">
      <c r="A331" s="7"/>
      <c r="B331" s="7"/>
      <c r="C331" s="12" t="s">
        <v>65</v>
      </c>
      <c r="D331" s="35">
        <v>4500000</v>
      </c>
      <c r="E331" s="35">
        <v>0</v>
      </c>
      <c r="F331" s="35">
        <f>SUM(J331:J331)</f>
        <v>1100000</v>
      </c>
      <c r="G331" s="58">
        <f>F331-D331</f>
        <v>-3400000</v>
      </c>
      <c r="H331" s="13" t="s">
        <v>66</v>
      </c>
      <c r="I331" s="14"/>
      <c r="J331" s="42">
        <v>1100000</v>
      </c>
      <c r="K331" s="58"/>
      <c r="L331" s="1"/>
      <c r="M331" s="36"/>
    </row>
    <row r="332" spans="1:13" s="22" customFormat="1" ht="16.5" customHeight="1">
      <c r="A332" s="6"/>
      <c r="B332" s="6"/>
      <c r="C332" s="6" t="s">
        <v>217</v>
      </c>
      <c r="D332" s="37">
        <v>5000000</v>
      </c>
      <c r="E332" s="37">
        <v>0</v>
      </c>
      <c r="F332" s="37">
        <f>J332</f>
        <v>2000000</v>
      </c>
      <c r="G332" s="58">
        <f>F332-D332</f>
        <v>-3000000</v>
      </c>
      <c r="H332" s="8" t="s">
        <v>218</v>
      </c>
      <c r="I332" s="9"/>
      <c r="J332" s="42">
        <v>2000000</v>
      </c>
      <c r="K332" s="58"/>
      <c r="L332" s="1"/>
      <c r="M332" s="36"/>
    </row>
    <row r="333" spans="1:13" s="22" customFormat="1" ht="18" customHeight="1">
      <c r="A333" s="7" t="s">
        <v>51</v>
      </c>
      <c r="B333" s="7" t="s">
        <v>154</v>
      </c>
      <c r="C333" s="6"/>
      <c r="D333" s="37">
        <v>32446000</v>
      </c>
      <c r="E333" s="37">
        <f>SUM(E334:E344)</f>
        <v>0</v>
      </c>
      <c r="F333" s="37">
        <f>SUM(F334:F344)</f>
        <v>0</v>
      </c>
      <c r="G333" s="56">
        <f>SUM(G334:G344)</f>
        <v>-32446000</v>
      </c>
      <c r="H333" s="8"/>
      <c r="I333" s="9"/>
      <c r="J333" s="40"/>
      <c r="K333" s="56"/>
      <c r="L333" s="1"/>
      <c r="M333" s="36"/>
    </row>
    <row r="334" spans="1:13" s="22" customFormat="1" ht="18" customHeight="1">
      <c r="A334" s="7"/>
      <c r="B334" s="7" t="s">
        <v>102</v>
      </c>
      <c r="C334" s="12" t="s">
        <v>238</v>
      </c>
      <c r="D334" s="35">
        <v>1452000</v>
      </c>
      <c r="E334" s="35">
        <v>0</v>
      </c>
      <c r="F334" s="35">
        <f>SUM(J334:J334)</f>
        <v>0</v>
      </c>
      <c r="G334" s="58">
        <f>F334-D334</f>
        <v>-1452000</v>
      </c>
      <c r="H334" s="13"/>
      <c r="I334" s="14"/>
      <c r="J334" s="42"/>
      <c r="K334" s="58"/>
      <c r="L334" s="1"/>
      <c r="M334" s="36"/>
    </row>
    <row r="335" spans="1:13" s="22" customFormat="1" ht="18" customHeight="1">
      <c r="A335" s="7"/>
      <c r="B335" s="7"/>
      <c r="C335" s="7" t="s">
        <v>239</v>
      </c>
      <c r="D335" s="25">
        <v>6994000</v>
      </c>
      <c r="E335" s="25">
        <v>0</v>
      </c>
      <c r="F335" s="25">
        <f>SUM(J335:J335)</f>
        <v>0</v>
      </c>
      <c r="G335" s="59">
        <f>F335-D335</f>
        <v>-6994000</v>
      </c>
      <c r="H335" s="10"/>
      <c r="I335" s="11"/>
      <c r="J335" s="41"/>
      <c r="K335" s="59"/>
      <c r="L335" s="1"/>
      <c r="M335" s="36"/>
    </row>
    <row r="336" spans="1:13" s="22" customFormat="1" ht="18" customHeight="1">
      <c r="A336" s="7"/>
      <c r="B336" s="7"/>
      <c r="C336" s="12" t="s">
        <v>240</v>
      </c>
      <c r="D336" s="35">
        <v>5000000</v>
      </c>
      <c r="E336" s="35">
        <v>0</v>
      </c>
      <c r="F336" s="35">
        <f>SUM(J336)</f>
        <v>0</v>
      </c>
      <c r="G336" s="58">
        <f>F336-D336</f>
        <v>-5000000</v>
      </c>
      <c r="H336" s="13"/>
      <c r="I336" s="14"/>
      <c r="J336" s="42"/>
      <c r="K336" s="58"/>
      <c r="L336" s="1"/>
      <c r="M336" s="36"/>
    </row>
    <row r="337" spans="1:13" s="22" customFormat="1" ht="18" customHeight="1">
      <c r="A337" s="7"/>
      <c r="B337" s="7"/>
      <c r="C337" s="12" t="s">
        <v>241</v>
      </c>
      <c r="D337" s="35">
        <v>2000000</v>
      </c>
      <c r="E337" s="35">
        <v>0</v>
      </c>
      <c r="F337" s="35">
        <f>SUM(J337:J337)</f>
        <v>0</v>
      </c>
      <c r="G337" s="58">
        <f>F337-D337</f>
        <v>-2000000</v>
      </c>
      <c r="H337" s="13"/>
      <c r="I337" s="14"/>
      <c r="J337" s="42"/>
      <c r="K337" s="58"/>
      <c r="L337" s="1"/>
      <c r="M337" s="36"/>
    </row>
    <row r="338" spans="1:13" s="22" customFormat="1" ht="18" customHeight="1">
      <c r="A338" s="7"/>
      <c r="B338" s="7"/>
      <c r="C338" s="7" t="s">
        <v>242</v>
      </c>
      <c r="D338" s="25">
        <v>3000000</v>
      </c>
      <c r="E338" s="25">
        <v>0</v>
      </c>
      <c r="F338" s="25">
        <f>SUM(J338:J338)</f>
        <v>0</v>
      </c>
      <c r="G338" s="59">
        <f>F338-D338</f>
        <v>-3000000</v>
      </c>
      <c r="H338" s="10"/>
      <c r="I338" s="11"/>
      <c r="J338" s="41"/>
      <c r="K338" s="59"/>
      <c r="L338" s="1"/>
      <c r="M338" s="36"/>
    </row>
    <row r="339" spans="1:13" s="22" customFormat="1" ht="18" customHeight="1">
      <c r="A339" s="7"/>
      <c r="B339" s="7"/>
      <c r="C339" s="12" t="s">
        <v>243</v>
      </c>
      <c r="D339" s="35">
        <v>1000000</v>
      </c>
      <c r="E339" s="35">
        <v>0</v>
      </c>
      <c r="F339" s="35">
        <f t="shared" ref="F339:F344" si="13">SUM(J339)</f>
        <v>0</v>
      </c>
      <c r="G339" s="58">
        <f t="shared" ref="G339:G344" si="14">F339-D339</f>
        <v>-1000000</v>
      </c>
      <c r="H339" s="13"/>
      <c r="I339" s="14"/>
      <c r="J339" s="42"/>
      <c r="K339" s="58"/>
      <c r="L339" s="1"/>
      <c r="M339" s="36"/>
    </row>
    <row r="340" spans="1:13" s="22" customFormat="1" ht="18" customHeight="1">
      <c r="A340" s="7"/>
      <c r="B340" s="7"/>
      <c r="C340" s="12" t="s">
        <v>244</v>
      </c>
      <c r="D340" s="35">
        <v>1000000</v>
      </c>
      <c r="E340" s="35">
        <v>0</v>
      </c>
      <c r="F340" s="35">
        <f t="shared" si="13"/>
        <v>0</v>
      </c>
      <c r="G340" s="58">
        <f t="shared" si="14"/>
        <v>-1000000</v>
      </c>
      <c r="H340" s="13"/>
      <c r="I340" s="14"/>
      <c r="J340" s="42"/>
      <c r="K340" s="58"/>
      <c r="L340" s="1"/>
      <c r="M340" s="36"/>
    </row>
    <row r="341" spans="1:13" s="22" customFormat="1" ht="18" customHeight="1">
      <c r="A341" s="7"/>
      <c r="B341" s="7"/>
      <c r="C341" s="12" t="s">
        <v>245</v>
      </c>
      <c r="D341" s="35">
        <v>1000000</v>
      </c>
      <c r="E341" s="35">
        <v>0</v>
      </c>
      <c r="F341" s="35">
        <f t="shared" si="13"/>
        <v>0</v>
      </c>
      <c r="G341" s="58">
        <f t="shared" si="14"/>
        <v>-1000000</v>
      </c>
      <c r="H341" s="13"/>
      <c r="I341" s="14"/>
      <c r="J341" s="42"/>
      <c r="K341" s="58"/>
      <c r="L341" s="1"/>
      <c r="M341" s="36"/>
    </row>
    <row r="342" spans="1:13" s="22" customFormat="1" ht="18" customHeight="1">
      <c r="A342" s="7"/>
      <c r="B342" s="7"/>
      <c r="C342" s="12" t="s">
        <v>246</v>
      </c>
      <c r="D342" s="35">
        <v>1000000</v>
      </c>
      <c r="E342" s="35">
        <v>0</v>
      </c>
      <c r="F342" s="35">
        <f t="shared" si="13"/>
        <v>0</v>
      </c>
      <c r="G342" s="58">
        <f t="shared" si="14"/>
        <v>-1000000</v>
      </c>
      <c r="H342" s="13"/>
      <c r="I342" s="14"/>
      <c r="J342" s="42"/>
      <c r="K342" s="58"/>
      <c r="L342" s="1"/>
      <c r="M342" s="36"/>
    </row>
    <row r="343" spans="1:13" s="22" customFormat="1" ht="18" customHeight="1">
      <c r="A343" s="7"/>
      <c r="B343" s="7"/>
      <c r="C343" s="12" t="s">
        <v>248</v>
      </c>
      <c r="D343" s="35">
        <v>5000000</v>
      </c>
      <c r="E343" s="35">
        <v>0</v>
      </c>
      <c r="F343" s="35">
        <f t="shared" si="13"/>
        <v>0</v>
      </c>
      <c r="G343" s="58">
        <f t="shared" si="14"/>
        <v>-5000000</v>
      </c>
      <c r="H343" s="13"/>
      <c r="I343" s="14"/>
      <c r="J343" s="42"/>
      <c r="K343" s="58"/>
      <c r="L343" s="1"/>
      <c r="M343" s="36"/>
    </row>
    <row r="344" spans="1:13" s="22" customFormat="1" ht="18" customHeight="1">
      <c r="A344" s="7"/>
      <c r="B344" s="6"/>
      <c r="C344" s="12" t="s">
        <v>250</v>
      </c>
      <c r="D344" s="35">
        <v>5000000</v>
      </c>
      <c r="E344" s="35">
        <v>0</v>
      </c>
      <c r="F344" s="35">
        <f t="shared" si="13"/>
        <v>0</v>
      </c>
      <c r="G344" s="58">
        <f t="shared" si="14"/>
        <v>-5000000</v>
      </c>
      <c r="H344" s="13"/>
      <c r="I344" s="14"/>
      <c r="J344" s="42"/>
      <c r="K344" s="58"/>
      <c r="L344" s="1"/>
      <c r="M344" s="36"/>
    </row>
    <row r="345" spans="1:13" s="22" customFormat="1" ht="18" customHeight="1">
      <c r="A345" s="7"/>
      <c r="B345" s="7">
        <v>2008</v>
      </c>
      <c r="C345" s="7"/>
      <c r="D345" s="25">
        <f>SUM(D346:D357)</f>
        <v>0</v>
      </c>
      <c r="E345" s="25">
        <f>SUM(E346:E360)</f>
        <v>945010</v>
      </c>
      <c r="F345" s="25">
        <f>SUM(F346:F360)</f>
        <v>4437650</v>
      </c>
      <c r="G345" s="25">
        <f>SUM(G346:G360)</f>
        <v>5354660</v>
      </c>
      <c r="H345" s="10"/>
      <c r="I345" s="11"/>
      <c r="J345" s="41"/>
      <c r="K345" s="59"/>
      <c r="L345" s="1"/>
      <c r="M345" s="36"/>
    </row>
    <row r="346" spans="1:13" s="22" customFormat="1" ht="18" customHeight="1">
      <c r="A346" s="7"/>
      <c r="B346" s="7" t="s">
        <v>770</v>
      </c>
      <c r="C346" s="12" t="s">
        <v>54</v>
      </c>
      <c r="D346" s="35">
        <v>0</v>
      </c>
      <c r="E346" s="35">
        <v>945010</v>
      </c>
      <c r="F346" s="35">
        <f>J346</f>
        <v>28000</v>
      </c>
      <c r="G346" s="58">
        <f>E346-D346</f>
        <v>945010</v>
      </c>
      <c r="H346" s="13" t="s">
        <v>137</v>
      </c>
      <c r="I346" s="14"/>
      <c r="J346" s="42">
        <v>28000</v>
      </c>
      <c r="K346" s="58"/>
      <c r="L346" s="1"/>
      <c r="M346" s="36"/>
    </row>
    <row r="347" spans="1:13" s="22" customFormat="1" ht="18" customHeight="1">
      <c r="A347" s="7"/>
      <c r="B347" s="7" t="s">
        <v>771</v>
      </c>
      <c r="C347" s="7" t="s">
        <v>55</v>
      </c>
      <c r="D347" s="25">
        <v>0</v>
      </c>
      <c r="E347" s="25">
        <v>0</v>
      </c>
      <c r="F347" s="25">
        <f>SUM(J347:J349)</f>
        <v>799200</v>
      </c>
      <c r="G347" s="59">
        <f>F347-D347</f>
        <v>799200</v>
      </c>
      <c r="H347" s="10" t="s">
        <v>772</v>
      </c>
      <c r="I347" s="11" t="s">
        <v>773</v>
      </c>
      <c r="J347" s="99">
        <f>660*370</f>
        <v>244200</v>
      </c>
      <c r="K347" s="59"/>
      <c r="L347" s="1"/>
      <c r="M347" s="36"/>
    </row>
    <row r="348" spans="1:13" s="22" customFormat="1" ht="18" customHeight="1">
      <c r="A348" s="7"/>
      <c r="B348" s="7"/>
      <c r="C348" s="7"/>
      <c r="D348" s="25"/>
      <c r="E348" s="25"/>
      <c r="F348" s="25"/>
      <c r="G348" s="59"/>
      <c r="H348" s="10" t="s">
        <v>774</v>
      </c>
      <c r="I348" s="11"/>
      <c r="J348" s="99">
        <v>280000</v>
      </c>
      <c r="K348" s="59"/>
      <c r="L348" s="1"/>
      <c r="M348" s="36"/>
    </row>
    <row r="349" spans="1:13" s="22" customFormat="1" ht="18" customHeight="1">
      <c r="A349" s="7"/>
      <c r="B349" s="7"/>
      <c r="C349" s="6"/>
      <c r="D349" s="37"/>
      <c r="E349" s="37"/>
      <c r="F349" s="37"/>
      <c r="G349" s="56"/>
      <c r="H349" s="8" t="s">
        <v>775</v>
      </c>
      <c r="I349" s="9"/>
      <c r="J349" s="95">
        <v>275000</v>
      </c>
      <c r="K349" s="56"/>
      <c r="L349" s="1"/>
      <c r="M349" s="36"/>
    </row>
    <row r="350" spans="1:13" s="22" customFormat="1" ht="18" customHeight="1">
      <c r="A350" s="7"/>
      <c r="B350" s="7"/>
      <c r="C350" s="7" t="s">
        <v>787</v>
      </c>
      <c r="D350" s="53">
        <v>0</v>
      </c>
      <c r="E350" s="53">
        <v>0</v>
      </c>
      <c r="F350" s="53">
        <f>SUM(J350:J351)</f>
        <v>1307410</v>
      </c>
      <c r="G350" s="57">
        <f>F350-D350</f>
        <v>1307410</v>
      </c>
      <c r="H350" s="15" t="s">
        <v>776</v>
      </c>
      <c r="I350" s="16"/>
      <c r="J350" s="99">
        <f>898000+39000+51000+23000+70000</f>
        <v>1081000</v>
      </c>
      <c r="K350" s="59"/>
      <c r="L350" s="1"/>
      <c r="M350" s="36"/>
    </row>
    <row r="351" spans="1:13" s="22" customFormat="1" ht="18" customHeight="1">
      <c r="A351" s="7"/>
      <c r="B351" s="7"/>
      <c r="C351" s="6"/>
      <c r="D351" s="37"/>
      <c r="E351" s="37"/>
      <c r="F351" s="37"/>
      <c r="G351" s="56"/>
      <c r="H351" s="8" t="s">
        <v>777</v>
      </c>
      <c r="I351" s="9"/>
      <c r="J351" s="95">
        <f>4020+171090+36000+15300</f>
        <v>226410</v>
      </c>
      <c r="K351" s="59"/>
      <c r="L351" s="1"/>
      <c r="M351" s="36"/>
    </row>
    <row r="352" spans="1:13" s="22" customFormat="1" ht="18" customHeight="1">
      <c r="A352" s="7"/>
      <c r="B352" s="7"/>
      <c r="C352" s="7" t="s">
        <v>788</v>
      </c>
      <c r="D352" s="25">
        <v>0</v>
      </c>
      <c r="E352" s="25">
        <v>0</v>
      </c>
      <c r="F352" s="25">
        <f>SUM(J352:J354)</f>
        <v>1210000</v>
      </c>
      <c r="G352" s="59">
        <f>F352-D352</f>
        <v>1210000</v>
      </c>
      <c r="H352" s="10" t="s">
        <v>778</v>
      </c>
      <c r="I352" s="11"/>
      <c r="J352" s="99">
        <f>200000*1.1</f>
        <v>220000.00000000003</v>
      </c>
      <c r="K352" s="59"/>
      <c r="L352" s="1"/>
      <c r="M352" s="36"/>
    </row>
    <row r="353" spans="1:13" s="22" customFormat="1" ht="18" customHeight="1">
      <c r="A353" s="7"/>
      <c r="B353" s="7"/>
      <c r="C353" s="7"/>
      <c r="D353" s="25"/>
      <c r="E353" s="25"/>
      <c r="F353" s="25"/>
      <c r="G353" s="59"/>
      <c r="H353" s="10" t="s">
        <v>779</v>
      </c>
      <c r="I353" s="11"/>
      <c r="J353" s="99">
        <f>300000*1.1</f>
        <v>330000</v>
      </c>
      <c r="K353" s="59"/>
      <c r="L353" s="1"/>
      <c r="M353" s="36"/>
    </row>
    <row r="354" spans="1:13" s="22" customFormat="1" ht="18" customHeight="1">
      <c r="A354" s="7"/>
      <c r="B354" s="7"/>
      <c r="C354" s="6"/>
      <c r="D354" s="37"/>
      <c r="E354" s="37"/>
      <c r="F354" s="37"/>
      <c r="G354" s="56"/>
      <c r="H354" s="8" t="s">
        <v>780</v>
      </c>
      <c r="I354" s="9"/>
      <c r="J354" s="95">
        <f>600000*1.1</f>
        <v>660000</v>
      </c>
      <c r="K354" s="59"/>
      <c r="L354" s="1"/>
      <c r="M354" s="36"/>
    </row>
    <row r="355" spans="1:13" s="22" customFormat="1" ht="18" customHeight="1">
      <c r="A355" s="7"/>
      <c r="B355" s="7"/>
      <c r="C355" s="18" t="s">
        <v>789</v>
      </c>
      <c r="D355" s="53">
        <v>0</v>
      </c>
      <c r="E355" s="53">
        <v>0</v>
      </c>
      <c r="F355" s="53">
        <f>SUM(J355:J356)</f>
        <v>130540</v>
      </c>
      <c r="G355" s="57">
        <f>F355-D355</f>
        <v>130540</v>
      </c>
      <c r="H355" s="15" t="s">
        <v>781</v>
      </c>
      <c r="I355" s="16"/>
      <c r="J355" s="100">
        <f>14340+30200</f>
        <v>44540</v>
      </c>
      <c r="K355" s="59"/>
      <c r="L355" s="1"/>
      <c r="M355" s="36"/>
    </row>
    <row r="356" spans="1:13" s="22" customFormat="1" ht="18" customHeight="1">
      <c r="A356" s="7"/>
      <c r="B356" s="7"/>
      <c r="C356" s="6"/>
      <c r="D356" s="37"/>
      <c r="E356" s="37"/>
      <c r="F356" s="37"/>
      <c r="G356" s="56"/>
      <c r="H356" s="8" t="s">
        <v>782</v>
      </c>
      <c r="I356" s="9"/>
      <c r="J356" s="95">
        <v>86000</v>
      </c>
      <c r="K356" s="59"/>
      <c r="L356" s="1"/>
      <c r="M356" s="36"/>
    </row>
    <row r="357" spans="1:13" s="22" customFormat="1" ht="18" customHeight="1">
      <c r="A357" s="7"/>
      <c r="B357" s="7"/>
      <c r="C357" s="18" t="s">
        <v>85</v>
      </c>
      <c r="D357" s="25">
        <v>0</v>
      </c>
      <c r="E357" s="25">
        <v>0</v>
      </c>
      <c r="F357" s="25">
        <f>SUM(J357:J360)</f>
        <v>962500</v>
      </c>
      <c r="G357" s="59">
        <f>F357-D357</f>
        <v>962500</v>
      </c>
      <c r="H357" s="10" t="s">
        <v>783</v>
      </c>
      <c r="I357" s="11"/>
      <c r="J357" s="99">
        <f>10000+10000+(900*6)+85000+(900*4)</f>
        <v>114000</v>
      </c>
      <c r="K357" s="59"/>
      <c r="L357" s="1"/>
      <c r="M357" s="36"/>
    </row>
    <row r="358" spans="1:13" s="22" customFormat="1" ht="18" customHeight="1">
      <c r="A358" s="7"/>
      <c r="B358" s="7"/>
      <c r="C358" s="7"/>
      <c r="D358" s="25"/>
      <c r="E358" s="25"/>
      <c r="F358" s="25"/>
      <c r="G358" s="59"/>
      <c r="H358" s="10" t="s">
        <v>784</v>
      </c>
      <c r="I358" s="11"/>
      <c r="J358" s="97">
        <v>40000</v>
      </c>
      <c r="K358" s="59"/>
      <c r="L358" s="1"/>
      <c r="M358" s="36"/>
    </row>
    <row r="359" spans="1:13" s="22" customFormat="1" ht="18" customHeight="1">
      <c r="A359" s="7"/>
      <c r="B359" s="7"/>
      <c r="C359" s="7"/>
      <c r="D359" s="25"/>
      <c r="E359" s="25"/>
      <c r="F359" s="25"/>
      <c r="G359" s="59"/>
      <c r="H359" s="10" t="s">
        <v>785</v>
      </c>
      <c r="I359" s="11"/>
      <c r="J359" s="97">
        <f>635000*1.1</f>
        <v>698500</v>
      </c>
      <c r="K359" s="59"/>
      <c r="L359" s="1"/>
      <c r="M359" s="36"/>
    </row>
    <row r="360" spans="1:13" s="22" customFormat="1" ht="18" customHeight="1">
      <c r="A360" s="6"/>
      <c r="B360" s="6"/>
      <c r="C360" s="6"/>
      <c r="D360" s="37"/>
      <c r="E360" s="37"/>
      <c r="F360" s="37"/>
      <c r="G360" s="56"/>
      <c r="H360" s="8" t="s">
        <v>786</v>
      </c>
      <c r="I360" s="9"/>
      <c r="J360" s="101">
        <v>110000</v>
      </c>
      <c r="K360" s="56"/>
      <c r="L360" s="1"/>
      <c r="M360" s="36"/>
    </row>
    <row r="361" spans="1:13" s="22" customFormat="1" ht="15.2" customHeight="1">
      <c r="A361" s="7" t="s">
        <v>104</v>
      </c>
      <c r="B361" s="6"/>
      <c r="C361" s="6"/>
      <c r="D361" s="37">
        <v>150400000</v>
      </c>
      <c r="E361" s="37">
        <f>E362+E365+E371</f>
        <v>168600000</v>
      </c>
      <c r="F361" s="37">
        <f>F362+F365+F371</f>
        <v>236550000</v>
      </c>
      <c r="G361" s="56">
        <f>G362+G365+G371</f>
        <v>86150000</v>
      </c>
      <c r="H361" s="8"/>
      <c r="I361" s="9"/>
      <c r="J361" s="40"/>
      <c r="K361" s="56"/>
      <c r="L361" s="1"/>
      <c r="M361" s="36"/>
    </row>
    <row r="362" spans="1:13" s="22" customFormat="1" ht="15.2" customHeight="1">
      <c r="A362" s="7"/>
      <c r="B362" s="7" t="s">
        <v>105</v>
      </c>
      <c r="C362" s="6"/>
      <c r="D362" s="37">
        <v>128000000</v>
      </c>
      <c r="E362" s="37">
        <f>SUM(E363:E364)</f>
        <v>161000000</v>
      </c>
      <c r="F362" s="37">
        <f>SUM(F363:F364)</f>
        <v>160000000</v>
      </c>
      <c r="G362" s="56">
        <f>F362-D362</f>
        <v>32000000</v>
      </c>
      <c r="H362" s="8"/>
      <c r="I362" s="9"/>
      <c r="J362" s="40"/>
      <c r="K362" s="56"/>
      <c r="L362" s="1"/>
      <c r="M362" s="36"/>
    </row>
    <row r="363" spans="1:13" ht="15.2" customHeight="1">
      <c r="A363" s="7"/>
      <c r="B363" s="7"/>
      <c r="C363" s="7" t="s">
        <v>106</v>
      </c>
      <c r="D363" s="25">
        <v>128000000</v>
      </c>
      <c r="E363" s="25">
        <v>128000000</v>
      </c>
      <c r="F363" s="25">
        <f>SUM(J363:J363)</f>
        <v>128000000</v>
      </c>
      <c r="G363" s="59">
        <f>F363-D363</f>
        <v>0</v>
      </c>
      <c r="H363" s="10" t="s">
        <v>107</v>
      </c>
      <c r="I363" s="16" t="s">
        <v>233</v>
      </c>
      <c r="J363" s="41">
        <f>8000000*16</f>
        <v>128000000</v>
      </c>
      <c r="K363" s="59"/>
      <c r="M363" s="36"/>
    </row>
    <row r="364" spans="1:13" ht="15.2" customHeight="1">
      <c r="A364" s="7"/>
      <c r="B364" s="6"/>
      <c r="C364" s="12" t="s">
        <v>108</v>
      </c>
      <c r="D364" s="35">
        <v>0</v>
      </c>
      <c r="E364" s="35">
        <v>33000000</v>
      </c>
      <c r="F364" s="35">
        <f>SUM(J364)</f>
        <v>32000000</v>
      </c>
      <c r="G364" s="58">
        <f>F364-D364</f>
        <v>32000000</v>
      </c>
      <c r="H364" s="13" t="s">
        <v>347</v>
      </c>
      <c r="I364" s="14" t="s">
        <v>348</v>
      </c>
      <c r="J364" s="42">
        <f>8000000*4</f>
        <v>32000000</v>
      </c>
      <c r="K364" s="58"/>
      <c r="M364" s="36"/>
    </row>
    <row r="365" spans="1:13" s="22" customFormat="1" ht="15.2" customHeight="1">
      <c r="A365" s="7"/>
      <c r="B365" s="18" t="s">
        <v>109</v>
      </c>
      <c r="C365" s="18"/>
      <c r="D365" s="53">
        <v>12400000</v>
      </c>
      <c r="E365" s="53">
        <f>E366</f>
        <v>7600000</v>
      </c>
      <c r="F365" s="53">
        <f>F366</f>
        <v>56550000</v>
      </c>
      <c r="G365" s="57">
        <f>G366</f>
        <v>44150000</v>
      </c>
      <c r="H365" s="15"/>
      <c r="I365" s="16"/>
      <c r="J365" s="43"/>
      <c r="K365" s="57"/>
      <c r="L365" s="1"/>
      <c r="M365" s="36"/>
    </row>
    <row r="366" spans="1:13" ht="15.2" customHeight="1">
      <c r="A366" s="7"/>
      <c r="B366" s="7"/>
      <c r="C366" s="18" t="s">
        <v>109</v>
      </c>
      <c r="D366" s="53">
        <v>12400000</v>
      </c>
      <c r="E366" s="53">
        <v>7600000</v>
      </c>
      <c r="F366" s="53">
        <f>SUM(J366:J370)</f>
        <v>56550000</v>
      </c>
      <c r="G366" s="57">
        <f>F366-D366</f>
        <v>44150000</v>
      </c>
      <c r="H366" s="15" t="s">
        <v>110</v>
      </c>
      <c r="I366" s="16" t="s">
        <v>349</v>
      </c>
      <c r="J366" s="43">
        <f>1000000*10</f>
        <v>10000000</v>
      </c>
      <c r="K366" s="57"/>
      <c r="M366" s="36"/>
    </row>
    <row r="367" spans="1:13" ht="15.2" customHeight="1">
      <c r="A367" s="7"/>
      <c r="B367" s="7"/>
      <c r="C367" s="7"/>
      <c r="D367" s="25"/>
      <c r="E367" s="25"/>
      <c r="F367" s="25"/>
      <c r="G367" s="59"/>
      <c r="H367" s="10" t="s">
        <v>111</v>
      </c>
      <c r="I367" s="11"/>
      <c r="J367" s="48"/>
      <c r="K367" s="59"/>
      <c r="M367" s="36"/>
    </row>
    <row r="368" spans="1:13" ht="15.2" customHeight="1">
      <c r="A368" s="7"/>
      <c r="B368" s="7"/>
      <c r="C368" s="7"/>
      <c r="D368" s="25"/>
      <c r="E368" s="25"/>
      <c r="F368" s="25"/>
      <c r="G368" s="59"/>
      <c r="H368" s="10" t="s">
        <v>112</v>
      </c>
      <c r="I368" s="11" t="s">
        <v>209</v>
      </c>
      <c r="J368" s="48">
        <f>1500000*4</f>
        <v>6000000</v>
      </c>
      <c r="K368" s="59"/>
      <c r="M368" s="36"/>
    </row>
    <row r="369" spans="1:13" ht="15.2" customHeight="1">
      <c r="A369" s="7"/>
      <c r="B369" s="7"/>
      <c r="C369" s="7"/>
      <c r="D369" s="25"/>
      <c r="E369" s="25"/>
      <c r="F369" s="25"/>
      <c r="G369" s="59"/>
      <c r="H369" s="10" t="s">
        <v>571</v>
      </c>
      <c r="I369" s="11" t="s">
        <v>572</v>
      </c>
      <c r="J369" s="48">
        <f>2000000*12</f>
        <v>24000000</v>
      </c>
      <c r="K369" s="59"/>
      <c r="M369" s="36"/>
    </row>
    <row r="370" spans="1:13" ht="15.2" customHeight="1">
      <c r="A370" s="7"/>
      <c r="B370" s="6"/>
      <c r="C370" s="6"/>
      <c r="D370" s="37"/>
      <c r="E370" s="37"/>
      <c r="F370" s="37"/>
      <c r="G370" s="56"/>
      <c r="H370" s="8" t="s">
        <v>573</v>
      </c>
      <c r="I370" s="9"/>
      <c r="J370" s="49">
        <v>16550000</v>
      </c>
      <c r="K370" s="56"/>
      <c r="M370" s="36"/>
    </row>
    <row r="371" spans="1:13" ht="15.2" customHeight="1">
      <c r="A371" s="7"/>
      <c r="B371" s="7" t="s">
        <v>113</v>
      </c>
      <c r="C371" s="6"/>
      <c r="D371" s="37">
        <v>10000000</v>
      </c>
      <c r="E371" s="37">
        <f>SUM(E372:E373)</f>
        <v>0</v>
      </c>
      <c r="F371" s="37">
        <f>SUM(F372:F373)</f>
        <v>20000000</v>
      </c>
      <c r="G371" s="37">
        <f>SUM(G372:G373)</f>
        <v>10000000</v>
      </c>
      <c r="H371" s="8"/>
      <c r="I371" s="9"/>
      <c r="J371" s="40"/>
      <c r="K371" s="37"/>
      <c r="M371" s="36"/>
    </row>
    <row r="372" spans="1:13" ht="15.2" customHeight="1">
      <c r="A372" s="7"/>
      <c r="B372" s="7"/>
      <c r="C372" s="12" t="s">
        <v>114</v>
      </c>
      <c r="D372" s="35">
        <v>10000000</v>
      </c>
      <c r="E372" s="35">
        <v>0</v>
      </c>
      <c r="F372" s="35">
        <f>J372</f>
        <v>10000000</v>
      </c>
      <c r="G372" s="35">
        <f>F372-D372</f>
        <v>0</v>
      </c>
      <c r="H372" s="13" t="s">
        <v>115</v>
      </c>
      <c r="I372" s="14"/>
      <c r="J372" s="42">
        <v>10000000</v>
      </c>
      <c r="K372" s="35"/>
      <c r="M372" s="36"/>
    </row>
    <row r="373" spans="1:13" ht="15.2" customHeight="1">
      <c r="A373" s="6"/>
      <c r="B373" s="6"/>
      <c r="C373" s="6" t="s">
        <v>574</v>
      </c>
      <c r="D373" s="37">
        <v>0</v>
      </c>
      <c r="E373" s="37">
        <v>0</v>
      </c>
      <c r="F373" s="37">
        <f>J373</f>
        <v>10000000</v>
      </c>
      <c r="G373" s="56">
        <f>F373-D373</f>
        <v>10000000</v>
      </c>
      <c r="H373" s="8" t="s">
        <v>575</v>
      </c>
      <c r="I373" s="9"/>
      <c r="J373" s="40">
        <v>10000000</v>
      </c>
      <c r="K373" s="56"/>
      <c r="M373" s="36"/>
    </row>
    <row r="374" spans="1:13" ht="15.2" customHeight="1">
      <c r="A374" s="7" t="s">
        <v>116</v>
      </c>
      <c r="B374" s="6"/>
      <c r="C374" s="6"/>
      <c r="D374" s="37">
        <v>489247200</v>
      </c>
      <c r="E374" s="37">
        <f>E375+E425+E404+E414+E436+E440+E394</f>
        <v>551323534</v>
      </c>
      <c r="F374" s="37">
        <f>F375+F425+F404+F414+F436+F440+F394</f>
        <v>697412560</v>
      </c>
      <c r="G374" s="56">
        <f>G375+G425+G404+G436+G414</f>
        <v>87745360</v>
      </c>
      <c r="H374" s="75"/>
      <c r="I374" s="9"/>
      <c r="J374" s="40"/>
      <c r="K374" s="56"/>
      <c r="M374" s="36"/>
    </row>
    <row r="375" spans="1:13" ht="15.2" customHeight="1">
      <c r="A375" s="7"/>
      <c r="B375" s="7" t="s">
        <v>52</v>
      </c>
      <c r="C375" s="6"/>
      <c r="D375" s="37">
        <v>260540000</v>
      </c>
      <c r="E375" s="37">
        <f>SUM(E376:E393)</f>
        <v>281013202</v>
      </c>
      <c r="F375" s="37">
        <f>SUM(F376:F392)</f>
        <v>306040000</v>
      </c>
      <c r="G375" s="37">
        <f>SUM(G376:G392)</f>
        <v>45500000</v>
      </c>
      <c r="H375" s="8"/>
      <c r="I375" s="9"/>
      <c r="J375" s="40"/>
      <c r="K375" s="37"/>
      <c r="M375" s="36"/>
    </row>
    <row r="376" spans="1:13" ht="15.2" customHeight="1">
      <c r="A376" s="7"/>
      <c r="B376" s="7"/>
      <c r="C376" s="7" t="s">
        <v>117</v>
      </c>
      <c r="D376" s="25">
        <v>22740000</v>
      </c>
      <c r="E376" s="25">
        <v>3313810</v>
      </c>
      <c r="F376" s="25">
        <f>SUM(J376:J379)</f>
        <v>57240000</v>
      </c>
      <c r="G376" s="59">
        <f>F376-D376</f>
        <v>34500000</v>
      </c>
      <c r="H376" s="10" t="s">
        <v>118</v>
      </c>
      <c r="I376" s="11" t="s">
        <v>576</v>
      </c>
      <c r="J376" s="41">
        <f>50000*10*70</f>
        <v>35000000</v>
      </c>
      <c r="K376" s="59"/>
      <c r="M376" s="36"/>
    </row>
    <row r="377" spans="1:13" ht="15.2" customHeight="1">
      <c r="A377" s="7"/>
      <c r="B377" s="7"/>
      <c r="C377" s="7"/>
      <c r="D377" s="25"/>
      <c r="E377" s="25"/>
      <c r="F377" s="25"/>
      <c r="G377" s="59"/>
      <c r="H377" s="10" t="s">
        <v>119</v>
      </c>
      <c r="I377" s="11" t="s">
        <v>578</v>
      </c>
      <c r="J377" s="41">
        <f>4000*34*70</f>
        <v>9520000</v>
      </c>
      <c r="K377" s="59"/>
      <c r="M377" s="36"/>
    </row>
    <row r="378" spans="1:13" ht="15.2" customHeight="1">
      <c r="A378" s="7"/>
      <c r="B378" s="7"/>
      <c r="C378" s="7"/>
      <c r="D378" s="25"/>
      <c r="E378" s="25"/>
      <c r="F378" s="25"/>
      <c r="G378" s="59"/>
      <c r="H378" s="10"/>
      <c r="I378" s="11" t="s">
        <v>577</v>
      </c>
      <c r="J378" s="41">
        <f>4000*24*70</f>
        <v>6720000</v>
      </c>
      <c r="K378" s="59"/>
      <c r="M378" s="36"/>
    </row>
    <row r="379" spans="1:13" ht="15.2" customHeight="1">
      <c r="A379" s="7"/>
      <c r="B379" s="7"/>
      <c r="C379" s="6"/>
      <c r="D379" s="37"/>
      <c r="E379" s="37"/>
      <c r="F379" s="37"/>
      <c r="G379" s="56"/>
      <c r="H379" s="8" t="s">
        <v>120</v>
      </c>
      <c r="I379" s="9" t="s">
        <v>579</v>
      </c>
      <c r="J379" s="40">
        <f>1500000*4</f>
        <v>6000000</v>
      </c>
      <c r="K379" s="56"/>
      <c r="M379" s="36"/>
    </row>
    <row r="380" spans="1:13" ht="15.2" customHeight="1">
      <c r="A380" s="7"/>
      <c r="B380" s="7"/>
      <c r="C380" s="18" t="s">
        <v>121</v>
      </c>
      <c r="D380" s="53">
        <v>25000000</v>
      </c>
      <c r="E380" s="53">
        <v>23027510</v>
      </c>
      <c r="F380" s="53">
        <f>SUM(J380:J381)</f>
        <v>26000000</v>
      </c>
      <c r="G380" s="57">
        <f>F380-D380</f>
        <v>1000000</v>
      </c>
      <c r="H380" s="15" t="s">
        <v>580</v>
      </c>
      <c r="I380" s="16"/>
      <c r="J380" s="43">
        <v>6000000</v>
      </c>
      <c r="K380" s="57"/>
      <c r="M380" s="36"/>
    </row>
    <row r="381" spans="1:13" ht="15.2" customHeight="1">
      <c r="A381" s="7"/>
      <c r="B381" s="7"/>
      <c r="C381" s="6"/>
      <c r="D381" s="37"/>
      <c r="E381" s="37"/>
      <c r="F381" s="37"/>
      <c r="G381" s="56"/>
      <c r="H381" s="8" t="s">
        <v>189</v>
      </c>
      <c r="I381" s="9"/>
      <c r="J381" s="40">
        <v>20000000</v>
      </c>
      <c r="K381" s="56"/>
      <c r="M381" s="36"/>
    </row>
    <row r="382" spans="1:13" ht="15.2" customHeight="1">
      <c r="A382" s="7"/>
      <c r="B382" s="7"/>
      <c r="C382" s="12" t="s">
        <v>35</v>
      </c>
      <c r="D382" s="35">
        <v>5000000</v>
      </c>
      <c r="E382" s="35">
        <v>0</v>
      </c>
      <c r="F382" s="35">
        <f>SUM(J382)</f>
        <v>5000000</v>
      </c>
      <c r="G382" s="35">
        <f>F382-D382</f>
        <v>0</v>
      </c>
      <c r="H382" s="13" t="s">
        <v>122</v>
      </c>
      <c r="I382" s="14"/>
      <c r="J382" s="42">
        <v>5000000</v>
      </c>
      <c r="K382" s="35"/>
      <c r="M382" s="36"/>
    </row>
    <row r="383" spans="1:13" ht="15.2" customHeight="1">
      <c r="A383" s="7"/>
      <c r="B383" s="7"/>
      <c r="C383" s="18" t="s">
        <v>123</v>
      </c>
      <c r="D383" s="53">
        <v>202800000</v>
      </c>
      <c r="E383" s="53">
        <v>199370810</v>
      </c>
      <c r="F383" s="53">
        <f>SUM(J383:J389)</f>
        <v>205400000</v>
      </c>
      <c r="G383" s="57">
        <f>F383-D383</f>
        <v>2600000</v>
      </c>
      <c r="H383" s="15" t="s">
        <v>582</v>
      </c>
      <c r="I383" s="16" t="s">
        <v>581</v>
      </c>
      <c r="J383" s="43">
        <f>30000*20*140</f>
        <v>84000000</v>
      </c>
      <c r="K383" s="57"/>
      <c r="M383" s="36"/>
    </row>
    <row r="384" spans="1:13" ht="15.2" customHeight="1">
      <c r="A384" s="7"/>
      <c r="B384" s="7"/>
      <c r="C384" s="7"/>
      <c r="D384" s="25"/>
      <c r="E384" s="25"/>
      <c r="F384" s="25"/>
      <c r="G384" s="59"/>
      <c r="H384" s="10" t="s">
        <v>583</v>
      </c>
      <c r="I384" s="11" t="s">
        <v>584</v>
      </c>
      <c r="J384" s="41">
        <f>30000*10*70</f>
        <v>21000000</v>
      </c>
      <c r="K384" s="59"/>
      <c r="M384" s="36"/>
    </row>
    <row r="385" spans="1:13" ht="15.2" customHeight="1">
      <c r="A385" s="7"/>
      <c r="B385" s="7"/>
      <c r="C385" s="7"/>
      <c r="D385" s="25"/>
      <c r="E385" s="25"/>
      <c r="F385" s="25"/>
      <c r="G385" s="59"/>
      <c r="H385" s="10" t="s">
        <v>124</v>
      </c>
      <c r="I385" s="11" t="s">
        <v>585</v>
      </c>
      <c r="J385" s="41">
        <f>3500000*1*6</f>
        <v>21000000</v>
      </c>
      <c r="K385" s="59"/>
      <c r="M385" s="36"/>
    </row>
    <row r="386" spans="1:13" ht="15.2" customHeight="1">
      <c r="A386" s="7"/>
      <c r="B386" s="7"/>
      <c r="C386" s="7"/>
      <c r="D386" s="25"/>
      <c r="E386" s="25"/>
      <c r="F386" s="25"/>
      <c r="G386" s="59"/>
      <c r="H386" s="10"/>
      <c r="I386" s="11" t="s">
        <v>586</v>
      </c>
      <c r="J386" s="41">
        <f>3300000*3*6</f>
        <v>59400000</v>
      </c>
      <c r="K386" s="59"/>
      <c r="M386" s="36"/>
    </row>
    <row r="387" spans="1:13" ht="15.2" customHeight="1">
      <c r="A387" s="7"/>
      <c r="B387" s="7"/>
      <c r="C387" s="7"/>
      <c r="D387" s="25"/>
      <c r="E387" s="25"/>
      <c r="F387" s="25"/>
      <c r="G387" s="59"/>
      <c r="H387" s="10" t="s">
        <v>587</v>
      </c>
      <c r="I387" s="11" t="s">
        <v>628</v>
      </c>
      <c r="J387" s="41">
        <f>2000000*7</f>
        <v>14000000</v>
      </c>
      <c r="K387" s="59"/>
      <c r="M387" s="36"/>
    </row>
    <row r="388" spans="1:13" ht="15.2" customHeight="1">
      <c r="A388" s="7"/>
      <c r="B388" s="7"/>
      <c r="C388" s="7"/>
      <c r="D388" s="25"/>
      <c r="E388" s="25"/>
      <c r="F388" s="25"/>
      <c r="G388" s="59"/>
      <c r="H388" s="10" t="s">
        <v>588</v>
      </c>
      <c r="I388" s="11"/>
      <c r="J388" s="41">
        <v>2500000</v>
      </c>
      <c r="K388" s="59"/>
      <c r="M388" s="36"/>
    </row>
    <row r="389" spans="1:13" ht="15.2" customHeight="1">
      <c r="A389" s="7"/>
      <c r="B389" s="7"/>
      <c r="C389" s="6"/>
      <c r="D389" s="37"/>
      <c r="E389" s="37"/>
      <c r="F389" s="37"/>
      <c r="G389" s="56"/>
      <c r="H389" s="8" t="s">
        <v>589</v>
      </c>
      <c r="I389" s="9"/>
      <c r="J389" s="40">
        <v>3500000</v>
      </c>
      <c r="K389" s="56"/>
      <c r="M389" s="36"/>
    </row>
    <row r="390" spans="1:13" ht="15.2" customHeight="1">
      <c r="A390" s="7"/>
      <c r="B390" s="7"/>
      <c r="C390" s="6" t="s">
        <v>7</v>
      </c>
      <c r="D390" s="37">
        <v>3000000</v>
      </c>
      <c r="E390" s="37">
        <v>1488422</v>
      </c>
      <c r="F390" s="37">
        <f>SUM(J390)</f>
        <v>5000000</v>
      </c>
      <c r="G390" s="56">
        <f>F390-D390</f>
        <v>2000000</v>
      </c>
      <c r="H390" s="8" t="s">
        <v>125</v>
      </c>
      <c r="I390" s="9"/>
      <c r="J390" s="40">
        <v>5000000</v>
      </c>
      <c r="K390" s="56"/>
      <c r="M390" s="36"/>
    </row>
    <row r="391" spans="1:13" ht="15.2" customHeight="1">
      <c r="A391" s="7"/>
      <c r="B391" s="7"/>
      <c r="C391" s="7" t="s">
        <v>126</v>
      </c>
      <c r="D391" s="25">
        <v>2000000</v>
      </c>
      <c r="E391" s="25">
        <v>6201220</v>
      </c>
      <c r="F391" s="25">
        <f>SUM(J391:J392)</f>
        <v>7400000</v>
      </c>
      <c r="G391" s="59">
        <f>F391-D391</f>
        <v>5400000</v>
      </c>
      <c r="H391" s="10" t="s">
        <v>127</v>
      </c>
      <c r="I391" s="11" t="s">
        <v>590</v>
      </c>
      <c r="J391" s="41">
        <v>2400000</v>
      </c>
      <c r="K391" s="59"/>
      <c r="M391" s="36"/>
    </row>
    <row r="392" spans="1:13" ht="15.2" customHeight="1">
      <c r="A392" s="7"/>
      <c r="B392" s="7"/>
      <c r="C392" s="6"/>
      <c r="D392" s="37"/>
      <c r="E392" s="37"/>
      <c r="F392" s="37"/>
      <c r="G392" s="56"/>
      <c r="H392" s="8" t="s">
        <v>128</v>
      </c>
      <c r="I392" s="9"/>
      <c r="J392" s="40">
        <v>5000000</v>
      </c>
      <c r="K392" s="56"/>
      <c r="M392" s="36"/>
    </row>
    <row r="393" spans="1:13" ht="15.2" customHeight="1">
      <c r="A393" s="6"/>
      <c r="B393" s="6"/>
      <c r="C393" s="6" t="s">
        <v>790</v>
      </c>
      <c r="D393" s="37">
        <v>0</v>
      </c>
      <c r="E393" s="37">
        <v>47611430</v>
      </c>
      <c r="F393" s="37">
        <v>0</v>
      </c>
      <c r="G393" s="37">
        <f>F393-D393</f>
        <v>0</v>
      </c>
      <c r="H393" s="8"/>
      <c r="I393" s="9"/>
      <c r="J393" s="40"/>
      <c r="K393" s="56"/>
      <c r="M393" s="36"/>
    </row>
    <row r="394" spans="1:13" ht="21" customHeight="1">
      <c r="A394" s="7" t="s">
        <v>116</v>
      </c>
      <c r="B394" s="7" t="s">
        <v>629</v>
      </c>
      <c r="C394" s="6"/>
      <c r="D394" s="37">
        <f>SUM(D395:D403)</f>
        <v>0</v>
      </c>
      <c r="E394" s="37">
        <f>SUM(E395:E403)</f>
        <v>0</v>
      </c>
      <c r="F394" s="37">
        <f>SUM(F395:F403)</f>
        <v>13830000</v>
      </c>
      <c r="G394" s="37">
        <f>SUM(G395:G403)</f>
        <v>13830000</v>
      </c>
      <c r="H394" s="24"/>
      <c r="I394" s="9"/>
      <c r="J394" s="40"/>
      <c r="K394" s="37"/>
      <c r="M394" s="36"/>
    </row>
    <row r="395" spans="1:13" ht="21" customHeight="1">
      <c r="A395" s="7"/>
      <c r="B395" s="7" t="s">
        <v>133</v>
      </c>
      <c r="C395" s="7" t="s">
        <v>117</v>
      </c>
      <c r="D395" s="25">
        <v>0</v>
      </c>
      <c r="E395" s="25">
        <v>0</v>
      </c>
      <c r="F395" s="25">
        <f>SUM(J395:J397)</f>
        <v>4120000</v>
      </c>
      <c r="G395" s="59">
        <f>F395-D395</f>
        <v>4120000</v>
      </c>
      <c r="H395" s="23" t="s">
        <v>630</v>
      </c>
      <c r="I395" s="11" t="s">
        <v>591</v>
      </c>
      <c r="J395" s="41">
        <f>20000*13*10</f>
        <v>2600000</v>
      </c>
      <c r="K395" s="59"/>
      <c r="M395" s="36"/>
    </row>
    <row r="396" spans="1:13" ht="21" customHeight="1">
      <c r="A396" s="7"/>
      <c r="B396" s="7"/>
      <c r="C396" s="7"/>
      <c r="D396" s="25"/>
      <c r="E396" s="25"/>
      <c r="F396" s="25"/>
      <c r="G396" s="59"/>
      <c r="H396" s="23" t="s">
        <v>119</v>
      </c>
      <c r="I396" s="11" t="s">
        <v>592</v>
      </c>
      <c r="J396" s="41">
        <f>4000*13*10</f>
        <v>520000</v>
      </c>
      <c r="K396" s="59"/>
      <c r="M396" s="36"/>
    </row>
    <row r="397" spans="1:13" ht="21" customHeight="1">
      <c r="A397" s="7"/>
      <c r="B397" s="7"/>
      <c r="C397" s="6"/>
      <c r="D397" s="37"/>
      <c r="E397" s="37"/>
      <c r="F397" s="37"/>
      <c r="G397" s="56"/>
      <c r="H397" s="24" t="s">
        <v>120</v>
      </c>
      <c r="I397" s="9" t="s">
        <v>224</v>
      </c>
      <c r="J397" s="40">
        <f>500000*2</f>
        <v>1000000</v>
      </c>
      <c r="K397" s="56"/>
      <c r="M397" s="36"/>
    </row>
    <row r="398" spans="1:13" ht="21" customHeight="1">
      <c r="A398" s="7"/>
      <c r="B398" s="7"/>
      <c r="C398" s="6" t="s">
        <v>58</v>
      </c>
      <c r="D398" s="37">
        <v>0</v>
      </c>
      <c r="E398" s="37">
        <v>0</v>
      </c>
      <c r="F398" s="37">
        <f t="shared" ref="F398:F403" si="15">SUM(J398)</f>
        <v>2520000</v>
      </c>
      <c r="G398" s="56">
        <f t="shared" ref="G398:G405" si="16">F398-D398</f>
        <v>2520000</v>
      </c>
      <c r="H398" s="24" t="s">
        <v>69</v>
      </c>
      <c r="I398" s="9" t="s">
        <v>594</v>
      </c>
      <c r="J398" s="40">
        <f>40000*7*9</f>
        <v>2520000</v>
      </c>
      <c r="K398" s="56"/>
      <c r="M398" s="36"/>
    </row>
    <row r="399" spans="1:13" ht="21" customHeight="1">
      <c r="A399" s="7"/>
      <c r="B399" s="7"/>
      <c r="C399" s="6" t="s">
        <v>121</v>
      </c>
      <c r="D399" s="37">
        <v>0</v>
      </c>
      <c r="E399" s="37">
        <v>0</v>
      </c>
      <c r="F399" s="37">
        <f t="shared" si="15"/>
        <v>2000000</v>
      </c>
      <c r="G399" s="56">
        <f t="shared" si="16"/>
        <v>2000000</v>
      </c>
      <c r="H399" s="24" t="s">
        <v>631</v>
      </c>
      <c r="I399" s="9"/>
      <c r="J399" s="40">
        <v>2000000</v>
      </c>
      <c r="K399" s="56"/>
      <c r="M399" s="36"/>
    </row>
    <row r="400" spans="1:13" ht="21" customHeight="1">
      <c r="A400" s="7"/>
      <c r="B400" s="7"/>
      <c r="C400" s="6" t="s">
        <v>35</v>
      </c>
      <c r="D400" s="37">
        <v>0</v>
      </c>
      <c r="E400" s="37">
        <v>0</v>
      </c>
      <c r="F400" s="37">
        <f t="shared" si="15"/>
        <v>1000000</v>
      </c>
      <c r="G400" s="56">
        <f t="shared" si="16"/>
        <v>1000000</v>
      </c>
      <c r="H400" s="24" t="s">
        <v>137</v>
      </c>
      <c r="I400" s="9"/>
      <c r="J400" s="40">
        <v>1000000</v>
      </c>
      <c r="K400" s="56"/>
      <c r="M400" s="36"/>
    </row>
    <row r="401" spans="1:13" ht="21" customHeight="1">
      <c r="A401" s="7"/>
      <c r="B401" s="7"/>
      <c r="C401" s="6" t="s">
        <v>123</v>
      </c>
      <c r="D401" s="37">
        <v>0</v>
      </c>
      <c r="E401" s="37">
        <v>0</v>
      </c>
      <c r="F401" s="37">
        <f t="shared" si="15"/>
        <v>3000000</v>
      </c>
      <c r="G401" s="56">
        <f t="shared" si="16"/>
        <v>3000000</v>
      </c>
      <c r="H401" s="24" t="s">
        <v>124</v>
      </c>
      <c r="I401" s="9" t="s">
        <v>595</v>
      </c>
      <c r="J401" s="40">
        <f>1000000*3</f>
        <v>3000000</v>
      </c>
      <c r="K401" s="56"/>
      <c r="M401" s="36"/>
    </row>
    <row r="402" spans="1:13" ht="21" customHeight="1">
      <c r="A402" s="7"/>
      <c r="B402" s="7"/>
      <c r="C402" s="6" t="s">
        <v>222</v>
      </c>
      <c r="D402" s="37">
        <v>0</v>
      </c>
      <c r="E402" s="37">
        <v>0</v>
      </c>
      <c r="F402" s="37">
        <f t="shared" si="15"/>
        <v>390000</v>
      </c>
      <c r="G402" s="56">
        <f t="shared" si="16"/>
        <v>390000</v>
      </c>
      <c r="H402" s="24" t="s">
        <v>633</v>
      </c>
      <c r="I402" s="9" t="s">
        <v>632</v>
      </c>
      <c r="J402" s="40">
        <f>30000*13</f>
        <v>390000</v>
      </c>
      <c r="K402" s="56"/>
      <c r="M402" s="36"/>
    </row>
    <row r="403" spans="1:13" ht="21" customHeight="1">
      <c r="A403" s="7"/>
      <c r="B403" s="6"/>
      <c r="C403" s="6" t="s">
        <v>85</v>
      </c>
      <c r="D403" s="37">
        <v>0</v>
      </c>
      <c r="E403" s="37">
        <v>0</v>
      </c>
      <c r="F403" s="37">
        <f t="shared" si="15"/>
        <v>800000</v>
      </c>
      <c r="G403" s="56">
        <f t="shared" si="16"/>
        <v>800000</v>
      </c>
      <c r="H403" s="24" t="s">
        <v>86</v>
      </c>
      <c r="I403" s="9"/>
      <c r="J403" s="40">
        <v>800000</v>
      </c>
      <c r="K403" s="56"/>
      <c r="M403" s="36"/>
    </row>
    <row r="404" spans="1:13" ht="21" customHeight="1">
      <c r="A404" s="7"/>
      <c r="B404" s="7" t="s">
        <v>132</v>
      </c>
      <c r="C404" s="6"/>
      <c r="D404" s="37">
        <v>21000000</v>
      </c>
      <c r="E404" s="37">
        <f>SUM(E405:E413)</f>
        <v>29501700</v>
      </c>
      <c r="F404" s="37">
        <f>SUM(F405:F413)</f>
        <v>27860000</v>
      </c>
      <c r="G404" s="56">
        <f t="shared" si="16"/>
        <v>6860000</v>
      </c>
      <c r="H404" s="8"/>
      <c r="I404" s="9"/>
      <c r="J404" s="40"/>
      <c r="K404" s="56"/>
      <c r="M404" s="36"/>
    </row>
    <row r="405" spans="1:13" ht="21" customHeight="1">
      <c r="A405" s="7"/>
      <c r="B405" s="7" t="s">
        <v>133</v>
      </c>
      <c r="C405" s="18" t="s">
        <v>117</v>
      </c>
      <c r="D405" s="53">
        <v>6100000</v>
      </c>
      <c r="E405" s="53">
        <v>7455700</v>
      </c>
      <c r="F405" s="53">
        <f>SUM(J405:J407)</f>
        <v>9200000</v>
      </c>
      <c r="G405" s="57">
        <f t="shared" si="16"/>
        <v>3100000</v>
      </c>
      <c r="H405" s="15" t="s">
        <v>134</v>
      </c>
      <c r="I405" s="16" t="s">
        <v>634</v>
      </c>
      <c r="J405" s="43">
        <f>20000*15*20</f>
        <v>6000000</v>
      </c>
      <c r="K405" s="57"/>
      <c r="M405" s="36"/>
    </row>
    <row r="406" spans="1:13" ht="21" customHeight="1">
      <c r="A406" s="7"/>
      <c r="B406" s="7" t="s">
        <v>506</v>
      </c>
      <c r="C406" s="7"/>
      <c r="D406" s="25"/>
      <c r="E406" s="25"/>
      <c r="F406" s="25"/>
      <c r="G406" s="59"/>
      <c r="H406" s="10" t="s">
        <v>119</v>
      </c>
      <c r="I406" s="11" t="s">
        <v>635</v>
      </c>
      <c r="J406" s="41">
        <f>4000*15*20</f>
        <v>1200000</v>
      </c>
      <c r="K406" s="59"/>
      <c r="M406" s="36"/>
    </row>
    <row r="407" spans="1:13" ht="21" customHeight="1">
      <c r="A407" s="7"/>
      <c r="B407" s="7"/>
      <c r="C407" s="6"/>
      <c r="D407" s="37" t="s">
        <v>135</v>
      </c>
      <c r="E407" s="37"/>
      <c r="F407" s="37" t="s">
        <v>136</v>
      </c>
      <c r="G407" s="56"/>
      <c r="H407" s="8" t="s">
        <v>120</v>
      </c>
      <c r="I407" s="9" t="s">
        <v>636</v>
      </c>
      <c r="J407" s="40">
        <f>500000*4</f>
        <v>2000000</v>
      </c>
      <c r="K407" s="56"/>
      <c r="M407" s="36"/>
    </row>
    <row r="408" spans="1:13" ht="21" customHeight="1">
      <c r="A408" s="7"/>
      <c r="B408" s="7"/>
      <c r="C408" s="6" t="s">
        <v>58</v>
      </c>
      <c r="D408" s="37">
        <f>40000*8*20</f>
        <v>6400000</v>
      </c>
      <c r="E408" s="37">
        <v>9420000</v>
      </c>
      <c r="F408" s="37">
        <f>SUM(J408)</f>
        <v>5760000</v>
      </c>
      <c r="G408" s="56">
        <f t="shared" ref="G408:G413" si="17">F408-D408</f>
        <v>-640000</v>
      </c>
      <c r="H408" s="8" t="s">
        <v>637</v>
      </c>
      <c r="I408" s="9" t="s">
        <v>638</v>
      </c>
      <c r="J408" s="40">
        <f>40000*8*18</f>
        <v>5760000</v>
      </c>
      <c r="K408" s="56"/>
      <c r="M408" s="36"/>
    </row>
    <row r="409" spans="1:13" ht="21" customHeight="1">
      <c r="A409" s="7"/>
      <c r="B409" s="7"/>
      <c r="C409" s="6" t="s">
        <v>121</v>
      </c>
      <c r="D409" s="37">
        <v>2200000</v>
      </c>
      <c r="E409" s="37">
        <v>7616000</v>
      </c>
      <c r="F409" s="37">
        <f>SUM(J409)</f>
        <v>2000000</v>
      </c>
      <c r="G409" s="56">
        <f t="shared" si="17"/>
        <v>-200000</v>
      </c>
      <c r="H409" s="8" t="s">
        <v>131</v>
      </c>
      <c r="I409" s="9" t="s">
        <v>220</v>
      </c>
      <c r="J409" s="40">
        <v>2000000</v>
      </c>
      <c r="K409" s="56"/>
      <c r="M409" s="36"/>
    </row>
    <row r="410" spans="1:13" ht="21" customHeight="1">
      <c r="A410" s="7"/>
      <c r="B410" s="7"/>
      <c r="C410" s="7" t="s">
        <v>35</v>
      </c>
      <c r="D410" s="25">
        <v>2000000</v>
      </c>
      <c r="E410" s="25"/>
      <c r="F410" s="25">
        <f>SUM(J410:J410)</f>
        <v>2000000</v>
      </c>
      <c r="G410" s="25">
        <f t="shared" si="17"/>
        <v>0</v>
      </c>
      <c r="H410" s="8" t="s">
        <v>137</v>
      </c>
      <c r="I410" s="9" t="s">
        <v>220</v>
      </c>
      <c r="J410" s="41">
        <v>2000000</v>
      </c>
      <c r="K410" s="25"/>
      <c r="M410" s="36"/>
    </row>
    <row r="411" spans="1:13" ht="21" customHeight="1">
      <c r="A411" s="7"/>
      <c r="B411" s="7"/>
      <c r="C411" s="12" t="s">
        <v>123</v>
      </c>
      <c r="D411" s="35">
        <v>3000000</v>
      </c>
      <c r="E411" s="35">
        <v>4000000</v>
      </c>
      <c r="F411" s="35">
        <f>SUM(J411:J411)</f>
        <v>6000000</v>
      </c>
      <c r="G411" s="58">
        <f t="shared" si="17"/>
        <v>3000000</v>
      </c>
      <c r="H411" s="13" t="s">
        <v>124</v>
      </c>
      <c r="I411" s="14" t="s">
        <v>639</v>
      </c>
      <c r="J411" s="42">
        <f>1000000*3*2</f>
        <v>6000000</v>
      </c>
      <c r="K411" s="58"/>
      <c r="M411" s="36"/>
    </row>
    <row r="412" spans="1:13" ht="21" customHeight="1">
      <c r="A412" s="7"/>
      <c r="B412" s="7"/>
      <c r="C412" s="6" t="s">
        <v>222</v>
      </c>
      <c r="D412" s="37">
        <v>800000</v>
      </c>
      <c r="E412" s="37">
        <v>330000</v>
      </c>
      <c r="F412" s="37">
        <f>SUM(J412)</f>
        <v>900000</v>
      </c>
      <c r="G412" s="56">
        <f t="shared" si="17"/>
        <v>100000</v>
      </c>
      <c r="H412" s="8" t="s">
        <v>633</v>
      </c>
      <c r="I412" s="9" t="s">
        <v>640</v>
      </c>
      <c r="J412" s="40">
        <f>30000*15*2</f>
        <v>900000</v>
      </c>
      <c r="K412" s="56"/>
      <c r="M412" s="36"/>
    </row>
    <row r="413" spans="1:13" ht="21" customHeight="1">
      <c r="A413" s="7"/>
      <c r="B413" s="6"/>
      <c r="C413" s="6" t="s">
        <v>85</v>
      </c>
      <c r="D413" s="37">
        <v>500000</v>
      </c>
      <c r="E413" s="37">
        <v>680000</v>
      </c>
      <c r="F413" s="37">
        <f>SUM(J413)</f>
        <v>2000000</v>
      </c>
      <c r="G413" s="56">
        <f t="shared" si="17"/>
        <v>1500000</v>
      </c>
      <c r="H413" s="8" t="s">
        <v>86</v>
      </c>
      <c r="I413" s="9"/>
      <c r="J413" s="40">
        <v>2000000</v>
      </c>
      <c r="K413" s="56"/>
      <c r="M413" s="36"/>
    </row>
    <row r="414" spans="1:13" ht="21" customHeight="1">
      <c r="A414" s="7"/>
      <c r="B414" s="7" t="s">
        <v>154</v>
      </c>
      <c r="C414" s="6"/>
      <c r="D414" s="37">
        <v>82000000</v>
      </c>
      <c r="E414" s="37">
        <f>SUM(E415:E424)</f>
        <v>0</v>
      </c>
      <c r="F414" s="37">
        <f>SUM(F415:F424)</f>
        <v>101720000</v>
      </c>
      <c r="G414" s="56">
        <f>SUM(G415:G424)</f>
        <v>19720000</v>
      </c>
      <c r="H414" s="8"/>
      <c r="I414" s="9"/>
      <c r="J414" s="40"/>
      <c r="K414" s="56"/>
      <c r="M414" s="36"/>
    </row>
    <row r="415" spans="1:13" ht="21" customHeight="1">
      <c r="A415" s="7"/>
      <c r="B415" s="7" t="s">
        <v>225</v>
      </c>
      <c r="C415" s="18" t="s">
        <v>228</v>
      </c>
      <c r="D415" s="53">
        <v>27800000</v>
      </c>
      <c r="E415" s="53">
        <v>0</v>
      </c>
      <c r="F415" s="53">
        <f>SUM(J415:J417)</f>
        <v>37600000</v>
      </c>
      <c r="G415" s="57">
        <f>F415-D415</f>
        <v>9800000</v>
      </c>
      <c r="H415" s="15" t="s">
        <v>630</v>
      </c>
      <c r="I415" s="16" t="s">
        <v>641</v>
      </c>
      <c r="J415" s="43">
        <f>20000*35*40</f>
        <v>28000000</v>
      </c>
      <c r="K415" s="57"/>
      <c r="M415" s="36"/>
    </row>
    <row r="416" spans="1:13" ht="21" customHeight="1">
      <c r="A416" s="7"/>
      <c r="B416" s="7" t="s">
        <v>226</v>
      </c>
      <c r="C416" s="7"/>
      <c r="D416" s="25"/>
      <c r="E416" s="25"/>
      <c r="F416" s="25"/>
      <c r="G416" s="59"/>
      <c r="H416" s="10" t="s">
        <v>119</v>
      </c>
      <c r="I416" s="11" t="s">
        <v>642</v>
      </c>
      <c r="J416" s="41">
        <f>4000*35*40</f>
        <v>5600000</v>
      </c>
      <c r="K416" s="59"/>
      <c r="M416" s="36"/>
    </row>
    <row r="417" spans="1:13" ht="21" customHeight="1">
      <c r="A417" s="6"/>
      <c r="B417" s="6" t="s">
        <v>227</v>
      </c>
      <c r="C417" s="6"/>
      <c r="D417" s="37"/>
      <c r="E417" s="37"/>
      <c r="F417" s="37"/>
      <c r="G417" s="56"/>
      <c r="H417" s="8" t="s">
        <v>120</v>
      </c>
      <c r="I417" s="9" t="s">
        <v>643</v>
      </c>
      <c r="J417" s="40">
        <f>1000000*4</f>
        <v>4000000</v>
      </c>
      <c r="K417" s="56"/>
      <c r="M417" s="36"/>
    </row>
    <row r="418" spans="1:13" ht="18.75" customHeight="1">
      <c r="A418" s="7" t="s">
        <v>116</v>
      </c>
      <c r="B418" s="7" t="s">
        <v>154</v>
      </c>
      <c r="C418" s="6" t="s">
        <v>229</v>
      </c>
      <c r="D418" s="37">
        <v>28800000</v>
      </c>
      <c r="E418" s="37">
        <v>0</v>
      </c>
      <c r="F418" s="37">
        <f>J418</f>
        <v>25920000</v>
      </c>
      <c r="G418" s="56">
        <f>F418-D418</f>
        <v>-2880000</v>
      </c>
      <c r="H418" s="8" t="s">
        <v>69</v>
      </c>
      <c r="I418" s="9" t="s">
        <v>644</v>
      </c>
      <c r="J418" s="40">
        <f>40000*18*36</f>
        <v>25920000</v>
      </c>
      <c r="K418" s="56"/>
      <c r="M418" s="36"/>
    </row>
    <row r="419" spans="1:13" ht="18.75" customHeight="1">
      <c r="A419" s="7"/>
      <c r="B419" s="7" t="s">
        <v>225</v>
      </c>
      <c r="C419" s="6" t="s">
        <v>121</v>
      </c>
      <c r="D419" s="37">
        <v>0</v>
      </c>
      <c r="E419" s="37">
        <v>0</v>
      </c>
      <c r="F419" s="37">
        <f>J419</f>
        <v>4000000</v>
      </c>
      <c r="G419" s="56">
        <f>F419-D419</f>
        <v>4000000</v>
      </c>
      <c r="H419" s="8" t="s">
        <v>631</v>
      </c>
      <c r="I419" s="9"/>
      <c r="J419" s="40">
        <v>4000000</v>
      </c>
      <c r="K419" s="56"/>
      <c r="M419" s="36"/>
    </row>
    <row r="420" spans="1:13" ht="18.75" customHeight="1">
      <c r="A420" s="7"/>
      <c r="B420" s="7" t="s">
        <v>226</v>
      </c>
      <c r="C420" s="6" t="s">
        <v>230</v>
      </c>
      <c r="D420" s="37">
        <v>4000000</v>
      </c>
      <c r="E420" s="37">
        <v>0</v>
      </c>
      <c r="F420" s="37">
        <f>J420</f>
        <v>4000000</v>
      </c>
      <c r="G420" s="37">
        <f>F420-D420</f>
        <v>0</v>
      </c>
      <c r="H420" s="8" t="s">
        <v>137</v>
      </c>
      <c r="I420" s="9"/>
      <c r="J420" s="40">
        <v>4000000</v>
      </c>
      <c r="K420" s="37"/>
      <c r="M420" s="36"/>
    </row>
    <row r="421" spans="1:13" ht="18.75" customHeight="1">
      <c r="A421" s="7"/>
      <c r="B421" s="7" t="s">
        <v>227</v>
      </c>
      <c r="C421" s="18" t="s">
        <v>231</v>
      </c>
      <c r="D421" s="53">
        <v>18000000</v>
      </c>
      <c r="E421" s="53">
        <v>0</v>
      </c>
      <c r="F421" s="53">
        <f>SUM(J421:J422)</f>
        <v>22000000</v>
      </c>
      <c r="G421" s="57">
        <f>F421-D421</f>
        <v>4000000</v>
      </c>
      <c r="H421" s="15" t="s">
        <v>124</v>
      </c>
      <c r="I421" s="16" t="s">
        <v>645</v>
      </c>
      <c r="J421" s="43">
        <f>1500000*1*4</f>
        <v>6000000</v>
      </c>
      <c r="K421" s="57"/>
      <c r="M421" s="36"/>
    </row>
    <row r="422" spans="1:13" ht="18.75" customHeight="1">
      <c r="A422" s="7"/>
      <c r="B422" s="7"/>
      <c r="C422" s="6"/>
      <c r="D422" s="37"/>
      <c r="E422" s="37"/>
      <c r="F422" s="37"/>
      <c r="G422" s="56"/>
      <c r="H422" s="8"/>
      <c r="I422" s="9" t="s">
        <v>646</v>
      </c>
      <c r="J422" s="40">
        <f>1000000*4*4</f>
        <v>16000000</v>
      </c>
      <c r="K422" s="56"/>
      <c r="M422" s="36"/>
    </row>
    <row r="423" spans="1:13" ht="18.75" customHeight="1">
      <c r="A423" s="7"/>
      <c r="B423" s="7"/>
      <c r="C423" s="6" t="s">
        <v>222</v>
      </c>
      <c r="D423" s="37">
        <v>1400000</v>
      </c>
      <c r="E423" s="37">
        <v>0</v>
      </c>
      <c r="F423" s="37">
        <f>J423</f>
        <v>4200000</v>
      </c>
      <c r="G423" s="56">
        <f>F423-D423</f>
        <v>2800000</v>
      </c>
      <c r="H423" s="8" t="s">
        <v>647</v>
      </c>
      <c r="I423" s="9" t="s">
        <v>648</v>
      </c>
      <c r="J423" s="40">
        <f>30000*35*4</f>
        <v>4200000</v>
      </c>
      <c r="K423" s="56"/>
      <c r="M423" s="36"/>
    </row>
    <row r="424" spans="1:13" ht="18.75" customHeight="1">
      <c r="A424" s="7"/>
      <c r="B424" s="6"/>
      <c r="C424" s="6" t="s">
        <v>232</v>
      </c>
      <c r="D424" s="37">
        <v>2000000</v>
      </c>
      <c r="E424" s="37">
        <v>0</v>
      </c>
      <c r="F424" s="37">
        <f>J424</f>
        <v>4000000</v>
      </c>
      <c r="G424" s="56">
        <f>F424-D424</f>
        <v>2000000</v>
      </c>
      <c r="H424" s="8" t="s">
        <v>86</v>
      </c>
      <c r="I424" s="9"/>
      <c r="J424" s="40">
        <v>4000000</v>
      </c>
      <c r="K424" s="56"/>
      <c r="M424" s="36"/>
    </row>
    <row r="425" spans="1:13" ht="18.75" customHeight="1">
      <c r="A425" s="7"/>
      <c r="B425" s="7" t="s">
        <v>129</v>
      </c>
      <c r="C425" s="6"/>
      <c r="D425" s="37">
        <v>12020000</v>
      </c>
      <c r="E425" s="35">
        <f>SUM(E426:E435)</f>
        <v>13378720</v>
      </c>
      <c r="F425" s="35">
        <f>SUM(F426:F435)</f>
        <v>12730000</v>
      </c>
      <c r="G425" s="58">
        <f>SUM(G426:G435)</f>
        <v>710000</v>
      </c>
      <c r="H425" s="76"/>
      <c r="I425" s="14"/>
      <c r="J425" s="42"/>
      <c r="K425" s="58"/>
      <c r="M425" s="36"/>
    </row>
    <row r="426" spans="1:13" ht="18.75" customHeight="1">
      <c r="A426" s="7"/>
      <c r="B426" s="7" t="s">
        <v>152</v>
      </c>
      <c r="C426" s="7" t="s">
        <v>117</v>
      </c>
      <c r="D426" s="25">
        <v>2710000</v>
      </c>
      <c r="E426" s="25">
        <v>4440700</v>
      </c>
      <c r="F426" s="25">
        <f>SUM(J426:J428)</f>
        <v>4120000</v>
      </c>
      <c r="G426" s="59">
        <f>F426-D426</f>
        <v>1410000</v>
      </c>
      <c r="H426" s="10" t="s">
        <v>118</v>
      </c>
      <c r="I426" s="11" t="s">
        <v>591</v>
      </c>
      <c r="J426" s="41">
        <f>20000*13*10</f>
        <v>2600000</v>
      </c>
      <c r="K426" s="59"/>
      <c r="M426" s="36"/>
    </row>
    <row r="427" spans="1:13" ht="18.75" customHeight="1">
      <c r="A427" s="7"/>
      <c r="B427" s="7" t="s">
        <v>223</v>
      </c>
      <c r="C427" s="7"/>
      <c r="D427" s="25"/>
      <c r="E427" s="25"/>
      <c r="F427" s="25"/>
      <c r="G427" s="59"/>
      <c r="H427" s="10" t="s">
        <v>119</v>
      </c>
      <c r="I427" s="11" t="s">
        <v>592</v>
      </c>
      <c r="J427" s="41">
        <f>4000*13*10</f>
        <v>520000</v>
      </c>
      <c r="K427" s="59"/>
      <c r="M427" s="36"/>
    </row>
    <row r="428" spans="1:13" ht="18.75" customHeight="1">
      <c r="A428" s="7"/>
      <c r="B428" s="7"/>
      <c r="C428" s="6"/>
      <c r="D428" s="37"/>
      <c r="E428" s="37"/>
      <c r="F428" s="37"/>
      <c r="G428" s="56"/>
      <c r="H428" s="8" t="s">
        <v>120</v>
      </c>
      <c r="I428" s="9" t="s">
        <v>224</v>
      </c>
      <c r="J428" s="40">
        <f>500000*2</f>
        <v>1000000</v>
      </c>
      <c r="K428" s="56"/>
      <c r="M428" s="36"/>
    </row>
    <row r="429" spans="1:13" ht="18.75" customHeight="1">
      <c r="A429" s="7"/>
      <c r="B429" s="7"/>
      <c r="C429" s="12" t="s">
        <v>593</v>
      </c>
      <c r="D429" s="35">
        <f>15000*13*10</f>
        <v>1950000</v>
      </c>
      <c r="E429" s="35">
        <v>3851000</v>
      </c>
      <c r="F429" s="35">
        <f>SUM(J429)</f>
        <v>2520000</v>
      </c>
      <c r="G429" s="58">
        <f t="shared" ref="G429:G437" si="18">F429-D429</f>
        <v>570000</v>
      </c>
      <c r="H429" s="13" t="s">
        <v>69</v>
      </c>
      <c r="I429" s="14" t="s">
        <v>594</v>
      </c>
      <c r="J429" s="42">
        <f>40000*7*9</f>
        <v>2520000</v>
      </c>
      <c r="K429" s="58"/>
      <c r="M429" s="36"/>
    </row>
    <row r="430" spans="1:13" ht="18.75" customHeight="1">
      <c r="A430" s="7"/>
      <c r="B430" s="7"/>
      <c r="C430" s="7" t="s">
        <v>121</v>
      </c>
      <c r="D430" s="25">
        <v>4600000</v>
      </c>
      <c r="E430" s="25">
        <v>1320000</v>
      </c>
      <c r="F430" s="25">
        <f>SUM(J430:J430)</f>
        <v>1000000</v>
      </c>
      <c r="G430" s="59">
        <f t="shared" si="18"/>
        <v>-3600000</v>
      </c>
      <c r="H430" s="10" t="s">
        <v>130</v>
      </c>
      <c r="I430" s="11"/>
      <c r="J430" s="41">
        <v>1000000</v>
      </c>
      <c r="K430" s="59"/>
      <c r="M430" s="36"/>
    </row>
    <row r="431" spans="1:13" ht="18.75" customHeight="1">
      <c r="A431" s="7"/>
      <c r="B431" s="7"/>
      <c r="C431" s="18" t="s">
        <v>35</v>
      </c>
      <c r="D431" s="53">
        <v>600000</v>
      </c>
      <c r="E431" s="53">
        <v>0</v>
      </c>
      <c r="F431" s="53">
        <f>SUM(J431:J431)</f>
        <v>1000000</v>
      </c>
      <c r="G431" s="57">
        <f t="shared" si="18"/>
        <v>400000</v>
      </c>
      <c r="H431" s="15" t="s">
        <v>137</v>
      </c>
      <c r="I431" s="16"/>
      <c r="J431" s="43">
        <v>1000000</v>
      </c>
      <c r="K431" s="57"/>
      <c r="M431" s="36"/>
    </row>
    <row r="432" spans="1:13" ht="18.75" customHeight="1">
      <c r="A432" s="7"/>
      <c r="B432" s="7"/>
      <c r="C432" s="12" t="s">
        <v>123</v>
      </c>
      <c r="D432" s="35">
        <v>1500000</v>
      </c>
      <c r="E432" s="35">
        <v>3000000</v>
      </c>
      <c r="F432" s="35">
        <f>SUM(J432:J432)</f>
        <v>3000000</v>
      </c>
      <c r="G432" s="58">
        <f t="shared" si="18"/>
        <v>1500000</v>
      </c>
      <c r="H432" s="13" t="s">
        <v>124</v>
      </c>
      <c r="I432" s="14" t="s">
        <v>595</v>
      </c>
      <c r="J432" s="42">
        <f>1000000*3</f>
        <v>3000000</v>
      </c>
      <c r="K432" s="58"/>
      <c r="M432" s="36"/>
    </row>
    <row r="433" spans="1:13" ht="18.75" customHeight="1">
      <c r="A433" s="7"/>
      <c r="B433" s="7"/>
      <c r="C433" s="6" t="s">
        <v>222</v>
      </c>
      <c r="D433" s="37">
        <v>260000</v>
      </c>
      <c r="E433" s="37">
        <v>335000</v>
      </c>
      <c r="F433" s="37">
        <f>SUM(J433)</f>
        <v>390000</v>
      </c>
      <c r="G433" s="56">
        <f t="shared" si="18"/>
        <v>130000</v>
      </c>
      <c r="H433" s="8" t="s">
        <v>633</v>
      </c>
      <c r="I433" s="9" t="s">
        <v>596</v>
      </c>
      <c r="J433" s="40">
        <f>30000*13*1</f>
        <v>390000</v>
      </c>
      <c r="K433" s="56"/>
      <c r="M433" s="36"/>
    </row>
    <row r="434" spans="1:13" ht="18.75" customHeight="1">
      <c r="A434" s="7"/>
      <c r="B434" s="7"/>
      <c r="C434" s="6" t="s">
        <v>126</v>
      </c>
      <c r="D434" s="37">
        <v>400000</v>
      </c>
      <c r="E434" s="37">
        <v>70020</v>
      </c>
      <c r="F434" s="37">
        <f>SUM(J434)</f>
        <v>200000</v>
      </c>
      <c r="G434" s="56">
        <f t="shared" si="18"/>
        <v>-200000</v>
      </c>
      <c r="H434" s="24" t="s">
        <v>128</v>
      </c>
      <c r="I434" s="9"/>
      <c r="J434" s="40">
        <v>200000</v>
      </c>
      <c r="K434" s="56"/>
      <c r="M434" s="36"/>
    </row>
    <row r="435" spans="1:13" ht="18.75" customHeight="1">
      <c r="A435" s="7"/>
      <c r="B435" s="6"/>
      <c r="C435" s="12" t="s">
        <v>85</v>
      </c>
      <c r="D435" s="35">
        <v>0</v>
      </c>
      <c r="E435" s="35">
        <v>362000</v>
      </c>
      <c r="F435" s="35">
        <f>SUM(J435)</f>
        <v>500000</v>
      </c>
      <c r="G435" s="35">
        <f t="shared" si="18"/>
        <v>500000</v>
      </c>
      <c r="H435" s="63" t="s">
        <v>86</v>
      </c>
      <c r="I435" s="14"/>
      <c r="J435" s="42">
        <v>500000</v>
      </c>
      <c r="K435" s="35"/>
      <c r="M435" s="36"/>
    </row>
    <row r="436" spans="1:13" ht="18.75" customHeight="1">
      <c r="A436" s="7"/>
      <c r="B436" s="7" t="s">
        <v>138</v>
      </c>
      <c r="C436" s="12"/>
      <c r="D436" s="35">
        <v>113687200</v>
      </c>
      <c r="E436" s="35">
        <f>SUM(E437)</f>
        <v>122478700</v>
      </c>
      <c r="F436" s="35">
        <f>SUM(F437)</f>
        <v>128642560</v>
      </c>
      <c r="G436" s="58">
        <f t="shared" si="18"/>
        <v>14955360</v>
      </c>
      <c r="H436" s="13"/>
      <c r="I436" s="14"/>
      <c r="J436" s="42"/>
      <c r="K436" s="58"/>
      <c r="M436" s="36"/>
    </row>
    <row r="437" spans="1:13" ht="18.75" customHeight="1">
      <c r="A437" s="7"/>
      <c r="B437" s="7"/>
      <c r="C437" s="7"/>
      <c r="D437" s="25">
        <v>113687200</v>
      </c>
      <c r="E437" s="25">
        <v>122478700</v>
      </c>
      <c r="F437" s="25">
        <f>SUM(J437:J439)</f>
        <v>128642560</v>
      </c>
      <c r="G437" s="59">
        <f t="shared" si="18"/>
        <v>14955360</v>
      </c>
      <c r="H437" s="10" t="s">
        <v>442</v>
      </c>
      <c r="I437" s="11"/>
      <c r="J437" s="41">
        <v>46547000</v>
      </c>
      <c r="K437" s="59"/>
      <c r="M437" s="36"/>
    </row>
    <row r="438" spans="1:13" ht="18.75" customHeight="1">
      <c r="A438" s="7"/>
      <c r="B438" s="7"/>
      <c r="C438" s="7"/>
      <c r="D438" s="25"/>
      <c r="E438" s="25"/>
      <c r="F438" s="25"/>
      <c r="G438" s="59"/>
      <c r="H438" s="10" t="s">
        <v>443</v>
      </c>
      <c r="I438" s="11"/>
      <c r="J438" s="41">
        <v>45424000</v>
      </c>
      <c r="K438" s="59"/>
      <c r="M438" s="36"/>
    </row>
    <row r="439" spans="1:13" ht="18.75" customHeight="1">
      <c r="A439" s="7"/>
      <c r="B439" s="6"/>
      <c r="C439" s="6"/>
      <c r="D439" s="37"/>
      <c r="E439" s="37"/>
      <c r="F439" s="37"/>
      <c r="G439" s="56"/>
      <c r="H439" s="8" t="s">
        <v>251</v>
      </c>
      <c r="I439" s="9"/>
      <c r="J439" s="40">
        <f>33671560+3000000</f>
        <v>36671560</v>
      </c>
      <c r="K439" s="56"/>
      <c r="M439" s="36"/>
    </row>
    <row r="440" spans="1:13" ht="18.75" customHeight="1">
      <c r="A440" s="7"/>
      <c r="B440" s="7" t="s">
        <v>437</v>
      </c>
      <c r="C440" s="12"/>
      <c r="D440" s="35">
        <f>SUM(D441:D444)</f>
        <v>0</v>
      </c>
      <c r="E440" s="35">
        <f>SUM(E441:E444)</f>
        <v>104951212</v>
      </c>
      <c r="F440" s="35">
        <f>SUM(F441:F444)</f>
        <v>106590000</v>
      </c>
      <c r="G440" s="35">
        <f>SUM(G441:G444)</f>
        <v>106590000</v>
      </c>
      <c r="H440" s="77"/>
      <c r="I440" s="77"/>
      <c r="J440" s="78"/>
      <c r="K440" s="35"/>
      <c r="M440" s="36"/>
    </row>
    <row r="441" spans="1:13" ht="18.75" customHeight="1">
      <c r="A441" s="7"/>
      <c r="B441" s="7"/>
      <c r="C441" s="7"/>
      <c r="D441" s="25">
        <v>0</v>
      </c>
      <c r="E441" s="25">
        <v>104951212</v>
      </c>
      <c r="F441" s="25">
        <f>SUM(J441:J444)</f>
        <v>106590000</v>
      </c>
      <c r="G441" s="59">
        <f>F441-D441</f>
        <v>106590000</v>
      </c>
      <c r="H441" s="10" t="s">
        <v>438</v>
      </c>
      <c r="I441" s="11"/>
      <c r="J441" s="41">
        <v>5220000</v>
      </c>
      <c r="K441" s="59"/>
      <c r="M441" s="36"/>
    </row>
    <row r="442" spans="1:13" ht="18.75" customHeight="1">
      <c r="A442" s="7"/>
      <c r="B442" s="7"/>
      <c r="C442" s="7"/>
      <c r="D442" s="25"/>
      <c r="E442" s="25"/>
      <c r="F442" s="25"/>
      <c r="G442" s="59"/>
      <c r="H442" s="10" t="s">
        <v>439</v>
      </c>
      <c r="I442" s="11"/>
      <c r="J442" s="41">
        <v>25100000</v>
      </c>
      <c r="K442" s="59"/>
      <c r="M442" s="36"/>
    </row>
    <row r="443" spans="1:13" ht="18.75" customHeight="1">
      <c r="A443" s="7"/>
      <c r="B443" s="7"/>
      <c r="C443" s="7"/>
      <c r="D443" s="25"/>
      <c r="E443" s="25"/>
      <c r="F443" s="25"/>
      <c r="G443" s="59"/>
      <c r="H443" s="10" t="s">
        <v>440</v>
      </c>
      <c r="I443" s="11"/>
      <c r="J443" s="41">
        <v>41770000</v>
      </c>
      <c r="K443" s="59"/>
      <c r="M443" s="36"/>
    </row>
    <row r="444" spans="1:13" ht="18.75" customHeight="1">
      <c r="A444" s="6"/>
      <c r="B444" s="6"/>
      <c r="C444" s="6"/>
      <c r="D444" s="37"/>
      <c r="E444" s="37">
        <f>434208893-E445</f>
        <v>0</v>
      </c>
      <c r="F444" s="37"/>
      <c r="G444" s="56"/>
      <c r="H444" s="8" t="s">
        <v>441</v>
      </c>
      <c r="I444" s="9"/>
      <c r="J444" s="40">
        <v>34500000</v>
      </c>
      <c r="K444" s="56"/>
      <c r="M444" s="36"/>
    </row>
    <row r="445" spans="1:13" ht="23.25" customHeight="1">
      <c r="A445" s="18" t="s">
        <v>139</v>
      </c>
      <c r="B445" s="12"/>
      <c r="C445" s="12"/>
      <c r="D445" s="35">
        <v>412863800</v>
      </c>
      <c r="E445" s="35">
        <f>E446+E476+E494+E510+E514+E527+E536+E545+E574+E601+E607+E610+E615+E626+E630+E632+E635+E642+E645</f>
        <v>434208893</v>
      </c>
      <c r="F445" s="35">
        <f>F446+F467+F476+F494+F519+F527+F536+F545+F557+F564+F574+F584+F601+F607+F610+F615+F642+F645+F590</f>
        <v>738440730</v>
      </c>
      <c r="G445" s="35">
        <f>G446+G467+G476+G494+G519+G527+G536+G545+G557+G564+G574+G584+G601+G607+G610+G615+G642+G645</f>
        <v>295561730</v>
      </c>
      <c r="H445" s="76"/>
      <c r="I445" s="14"/>
      <c r="J445" s="42"/>
      <c r="K445" s="35"/>
      <c r="M445" s="36"/>
    </row>
    <row r="446" spans="1:13" ht="23.25" customHeight="1">
      <c r="A446" s="7"/>
      <c r="B446" s="7" t="s">
        <v>234</v>
      </c>
      <c r="C446" s="38"/>
      <c r="D446" s="37">
        <v>65850000</v>
      </c>
      <c r="E446" s="37">
        <f>SUM(E447:E466)</f>
        <v>66132895</v>
      </c>
      <c r="F446" s="37">
        <f>SUM(F447:F466)</f>
        <v>126138500</v>
      </c>
      <c r="G446" s="56">
        <f>F446-D446</f>
        <v>60288500</v>
      </c>
      <c r="H446" s="8"/>
      <c r="I446" s="9"/>
      <c r="J446" s="40"/>
      <c r="K446" s="56"/>
      <c r="M446" s="36"/>
    </row>
    <row r="447" spans="1:13" ht="23.25" customHeight="1">
      <c r="A447" s="7"/>
      <c r="B447" s="7" t="s">
        <v>274</v>
      </c>
      <c r="C447" s="79" t="s">
        <v>141</v>
      </c>
      <c r="D447" s="80">
        <v>16900000</v>
      </c>
      <c r="E447" s="83">
        <v>16182900</v>
      </c>
      <c r="F447" s="80">
        <f>SUM(J447:J448)</f>
        <v>22125500</v>
      </c>
      <c r="G447" s="59">
        <f>F447-D447</f>
        <v>5225500</v>
      </c>
      <c r="H447" s="15" t="s">
        <v>275</v>
      </c>
      <c r="I447" s="26" t="s">
        <v>423</v>
      </c>
      <c r="J447" s="81">
        <f>582250*19</f>
        <v>11062750</v>
      </c>
      <c r="K447" s="59"/>
      <c r="M447" s="36"/>
    </row>
    <row r="448" spans="1:13" ht="23.25" customHeight="1">
      <c r="A448" s="7"/>
      <c r="B448" s="7"/>
      <c r="C448" s="79"/>
      <c r="D448" s="80"/>
      <c r="E448" s="66"/>
      <c r="F448" s="66"/>
      <c r="G448" s="56"/>
      <c r="H448" s="406" t="s">
        <v>654</v>
      </c>
      <c r="I448" s="407"/>
      <c r="J448" s="49">
        <f>582250*19</f>
        <v>11062750</v>
      </c>
      <c r="K448" s="56"/>
      <c r="M448" s="36"/>
    </row>
    <row r="449" spans="1:13" ht="23.25" customHeight="1">
      <c r="A449" s="7"/>
      <c r="B449" s="7"/>
      <c r="C449" s="82" t="s">
        <v>143</v>
      </c>
      <c r="D449" s="83">
        <v>38000000</v>
      </c>
      <c r="E449" s="80">
        <v>35197912</v>
      </c>
      <c r="F449" s="80">
        <f>SUM(J449:J462)</f>
        <v>93513000</v>
      </c>
      <c r="G449" s="57">
        <f>F449-D449</f>
        <v>55513000</v>
      </c>
      <c r="H449" s="28" t="s">
        <v>280</v>
      </c>
      <c r="I449" s="20" t="s">
        <v>623</v>
      </c>
      <c r="J449" s="48">
        <f>180*4*1740*11</f>
        <v>13780800</v>
      </c>
      <c r="K449" s="57"/>
      <c r="M449" s="36"/>
    </row>
    <row r="450" spans="1:13" ht="23.25" customHeight="1">
      <c r="A450" s="7"/>
      <c r="B450" s="7"/>
      <c r="C450" s="79"/>
      <c r="D450" s="80"/>
      <c r="E450" s="80"/>
      <c r="F450" s="80"/>
      <c r="G450" s="59"/>
      <c r="H450" s="404" t="s">
        <v>624</v>
      </c>
      <c r="I450" s="405"/>
      <c r="J450" s="48">
        <f>180*1*11*1740</f>
        <v>3445200</v>
      </c>
      <c r="K450" s="59"/>
      <c r="M450" s="36"/>
    </row>
    <row r="451" spans="1:13" ht="23.25" customHeight="1">
      <c r="A451" s="7"/>
      <c r="B451" s="7"/>
      <c r="C451" s="79"/>
      <c r="D451" s="80"/>
      <c r="E451" s="80"/>
      <c r="F451" s="80"/>
      <c r="G451" s="59"/>
      <c r="H451" s="28"/>
      <c r="I451" s="20" t="s">
        <v>278</v>
      </c>
      <c r="J451" s="48">
        <f>180*2*11*1740</f>
        <v>6890400</v>
      </c>
      <c r="K451" s="59"/>
      <c r="M451" s="36"/>
    </row>
    <row r="452" spans="1:13" ht="23.25" customHeight="1">
      <c r="A452" s="7"/>
      <c r="B452" s="7"/>
      <c r="C452" s="79"/>
      <c r="D452" s="80"/>
      <c r="E452" s="80"/>
      <c r="F452" s="80"/>
      <c r="G452" s="59"/>
      <c r="H452" s="28" t="s">
        <v>621</v>
      </c>
      <c r="I452" s="20" t="s">
        <v>277</v>
      </c>
      <c r="J452" s="48">
        <f>150*12*11*1740</f>
        <v>34452000</v>
      </c>
      <c r="K452" s="59"/>
      <c r="M452" s="36"/>
    </row>
    <row r="453" spans="1:13" ht="23.25" customHeight="1">
      <c r="A453" s="7"/>
      <c r="B453" s="7"/>
      <c r="C453" s="79"/>
      <c r="D453" s="80"/>
      <c r="E453" s="80"/>
      <c r="F453" s="80"/>
      <c r="G453" s="59"/>
      <c r="H453" s="28" t="s">
        <v>622</v>
      </c>
      <c r="I453" s="20" t="s">
        <v>279</v>
      </c>
      <c r="J453" s="48">
        <f>-(150*7*9*1740)</f>
        <v>-16443000</v>
      </c>
      <c r="K453" s="59"/>
      <c r="M453" s="36"/>
    </row>
    <row r="454" spans="1:13" ht="23.25" customHeight="1">
      <c r="A454" s="7"/>
      <c r="B454" s="7"/>
      <c r="C454" s="79"/>
      <c r="D454" s="80"/>
      <c r="E454" s="80"/>
      <c r="F454" s="80"/>
      <c r="G454" s="59"/>
      <c r="H454" s="28" t="s">
        <v>281</v>
      </c>
      <c r="I454" s="20" t="s">
        <v>282</v>
      </c>
      <c r="J454" s="48">
        <f>180*2*9*1740</f>
        <v>5637600</v>
      </c>
      <c r="K454" s="59"/>
      <c r="M454" s="36"/>
    </row>
    <row r="455" spans="1:13" ht="23.25" customHeight="1">
      <c r="A455" s="7"/>
      <c r="B455" s="7"/>
      <c r="C455" s="79"/>
      <c r="D455" s="80"/>
      <c r="E455" s="80"/>
      <c r="F455" s="80"/>
      <c r="G455" s="59"/>
      <c r="H455" s="28" t="s">
        <v>620</v>
      </c>
      <c r="I455" s="20" t="s">
        <v>283</v>
      </c>
      <c r="J455" s="48">
        <f>150*4*9*1740</f>
        <v>9396000</v>
      </c>
      <c r="K455" s="59"/>
      <c r="M455" s="36"/>
    </row>
    <row r="456" spans="1:13" ht="23.25" customHeight="1">
      <c r="A456" s="7"/>
      <c r="B456" s="7"/>
      <c r="C456" s="79"/>
      <c r="D456" s="80"/>
      <c r="E456" s="80"/>
      <c r="F456" s="80"/>
      <c r="G456" s="59"/>
      <c r="H456" s="28" t="s">
        <v>285</v>
      </c>
      <c r="I456" s="20" t="s">
        <v>286</v>
      </c>
      <c r="J456" s="48">
        <f>150*10*9*1740</f>
        <v>23490000</v>
      </c>
      <c r="K456" s="59"/>
      <c r="M456" s="36"/>
    </row>
    <row r="457" spans="1:13" ht="23.25" customHeight="1">
      <c r="A457" s="7"/>
      <c r="B457" s="7"/>
      <c r="C457" s="79"/>
      <c r="D457" s="80"/>
      <c r="E457" s="80"/>
      <c r="F457" s="80"/>
      <c r="G457" s="59"/>
      <c r="H457" s="28" t="s">
        <v>287</v>
      </c>
      <c r="I457" s="20" t="s">
        <v>282</v>
      </c>
      <c r="J457" s="48">
        <f>180*2*1740*9</f>
        <v>5637600</v>
      </c>
      <c r="K457" s="59"/>
      <c r="M457" s="36"/>
    </row>
    <row r="458" spans="1:13" ht="23.25" customHeight="1">
      <c r="A458" s="7"/>
      <c r="B458" s="7"/>
      <c r="C458" s="79"/>
      <c r="D458" s="80"/>
      <c r="E458" s="80"/>
      <c r="F458" s="80"/>
      <c r="G458" s="59"/>
      <c r="H458" s="28" t="s">
        <v>293</v>
      </c>
      <c r="I458" s="20" t="s">
        <v>288</v>
      </c>
      <c r="J458" s="48">
        <f>150*1*1*1740</f>
        <v>261000</v>
      </c>
      <c r="K458" s="59"/>
      <c r="M458" s="36"/>
    </row>
    <row r="459" spans="1:13" ht="23.25" customHeight="1">
      <c r="A459" s="7"/>
      <c r="B459" s="7"/>
      <c r="C459" s="79"/>
      <c r="D459" s="80"/>
      <c r="E459" s="80"/>
      <c r="F459" s="80"/>
      <c r="G459" s="59"/>
      <c r="H459" s="28" t="s">
        <v>119</v>
      </c>
      <c r="I459" s="20" t="s">
        <v>424</v>
      </c>
      <c r="J459" s="48">
        <f>10*19*12*1350</f>
        <v>3078000</v>
      </c>
      <c r="K459" s="59"/>
      <c r="M459" s="36"/>
    </row>
    <row r="460" spans="1:13" ht="23.25" customHeight="1">
      <c r="A460" s="7"/>
      <c r="B460" s="7"/>
      <c r="C460" s="79"/>
      <c r="D460" s="80"/>
      <c r="E460" s="80"/>
      <c r="F460" s="80"/>
      <c r="G460" s="59"/>
      <c r="H460" s="28"/>
      <c r="I460" s="20" t="s">
        <v>289</v>
      </c>
      <c r="J460" s="48">
        <f>10*19*10*1350</f>
        <v>2565000</v>
      </c>
      <c r="K460" s="59"/>
      <c r="M460" s="36"/>
    </row>
    <row r="461" spans="1:13" ht="23.25" customHeight="1">
      <c r="A461" s="7"/>
      <c r="B461" s="7"/>
      <c r="C461" s="7"/>
      <c r="D461" s="80"/>
      <c r="E461" s="80"/>
      <c r="F461" s="80"/>
      <c r="G461" s="59"/>
      <c r="H461" s="28" t="s">
        <v>290</v>
      </c>
      <c r="I461" s="20" t="s">
        <v>291</v>
      </c>
      <c r="J461" s="48">
        <f>40*12*1740</f>
        <v>835200</v>
      </c>
      <c r="K461" s="59"/>
      <c r="M461" s="36"/>
    </row>
    <row r="462" spans="1:13" ht="23.25" customHeight="1">
      <c r="A462" s="7"/>
      <c r="B462" s="7"/>
      <c r="C462" s="6"/>
      <c r="D462" s="66"/>
      <c r="E462" s="66"/>
      <c r="F462" s="66"/>
      <c r="G462" s="56"/>
      <c r="H462" s="29"/>
      <c r="I462" s="21" t="s">
        <v>292</v>
      </c>
      <c r="J462" s="49">
        <f>20*14*1740</f>
        <v>487200</v>
      </c>
      <c r="K462" s="56"/>
      <c r="M462" s="36"/>
    </row>
    <row r="463" spans="1:13" ht="23.25" customHeight="1">
      <c r="A463" s="7"/>
      <c r="B463" s="7"/>
      <c r="C463" s="18" t="s">
        <v>145</v>
      </c>
      <c r="D463" s="83">
        <v>950000</v>
      </c>
      <c r="E463" s="83">
        <f>1205000+159580</f>
        <v>1364580</v>
      </c>
      <c r="F463" s="83">
        <f>SUM(J463:J464)</f>
        <v>500000</v>
      </c>
      <c r="G463" s="59">
        <f>F463-D463</f>
        <v>-450000</v>
      </c>
      <c r="H463" s="10" t="s">
        <v>294</v>
      </c>
      <c r="I463" s="20"/>
      <c r="J463" s="48">
        <v>250000</v>
      </c>
      <c r="K463" s="59"/>
      <c r="M463" s="36"/>
    </row>
    <row r="464" spans="1:13" ht="23.25" customHeight="1">
      <c r="A464" s="7"/>
      <c r="B464" s="7"/>
      <c r="C464" s="6"/>
      <c r="D464" s="66"/>
      <c r="E464" s="66"/>
      <c r="F464" s="66"/>
      <c r="G464" s="56"/>
      <c r="H464" s="8" t="s">
        <v>295</v>
      </c>
      <c r="I464" s="21"/>
      <c r="J464" s="49">
        <v>250000</v>
      </c>
      <c r="K464" s="56"/>
      <c r="M464" s="36"/>
    </row>
    <row r="465" spans="1:13" ht="23.25" customHeight="1">
      <c r="A465" s="7"/>
      <c r="B465" s="7"/>
      <c r="C465" s="38" t="s">
        <v>37</v>
      </c>
      <c r="D465" s="66">
        <v>5000000</v>
      </c>
      <c r="E465" s="66">
        <v>4865160</v>
      </c>
      <c r="F465" s="66">
        <f>SUM(J465)</f>
        <v>5000000</v>
      </c>
      <c r="G465" s="37">
        <f>F465-D465</f>
        <v>0</v>
      </c>
      <c r="H465" s="13" t="s">
        <v>38</v>
      </c>
      <c r="I465" s="19"/>
      <c r="J465" s="84">
        <v>5000000</v>
      </c>
      <c r="K465" s="37"/>
      <c r="M465" s="36"/>
    </row>
    <row r="466" spans="1:13" ht="23.25" customHeight="1">
      <c r="A466" s="6"/>
      <c r="B466" s="6"/>
      <c r="C466" s="61" t="s">
        <v>67</v>
      </c>
      <c r="D466" s="66">
        <v>5000000</v>
      </c>
      <c r="E466" s="66">
        <v>8522343</v>
      </c>
      <c r="F466" s="66">
        <f>SUM(J466)</f>
        <v>5000000</v>
      </c>
      <c r="G466" s="37">
        <f>F466-D466</f>
        <v>0</v>
      </c>
      <c r="H466" s="29" t="s">
        <v>86</v>
      </c>
      <c r="I466" s="21"/>
      <c r="J466" s="49">
        <v>5000000</v>
      </c>
      <c r="K466" s="37"/>
      <c r="M466" s="36"/>
    </row>
    <row r="467" spans="1:13" ht="18.75" customHeight="1">
      <c r="A467" s="18" t="s">
        <v>139</v>
      </c>
      <c r="B467" s="7" t="s">
        <v>153</v>
      </c>
      <c r="C467" s="6"/>
      <c r="D467" s="35">
        <v>0</v>
      </c>
      <c r="E467" s="35">
        <f>SUM(E468:E475)</f>
        <v>0</v>
      </c>
      <c r="F467" s="35">
        <f>SUM(F468:F475)</f>
        <v>46961500</v>
      </c>
      <c r="G467" s="58">
        <f>F467-D467</f>
        <v>46961500</v>
      </c>
      <c r="H467" s="13"/>
      <c r="I467" s="14"/>
      <c r="J467" s="42"/>
      <c r="K467" s="58"/>
      <c r="M467" s="36"/>
    </row>
    <row r="468" spans="1:13" ht="18.75" customHeight="1">
      <c r="A468" s="7"/>
      <c r="B468" s="7" t="s">
        <v>140</v>
      </c>
      <c r="C468" s="12" t="s">
        <v>148</v>
      </c>
      <c r="D468" s="35">
        <v>0</v>
      </c>
      <c r="E468" s="35">
        <v>0</v>
      </c>
      <c r="F468" s="35">
        <f>SUM(J468)</f>
        <v>24700000</v>
      </c>
      <c r="G468" s="58">
        <f>F468-D468</f>
        <v>24700000</v>
      </c>
      <c r="H468" s="13" t="s">
        <v>354</v>
      </c>
      <c r="I468" s="9" t="s">
        <v>420</v>
      </c>
      <c r="J468" s="40">
        <f>1300000*19</f>
        <v>24700000</v>
      </c>
      <c r="K468" s="58"/>
      <c r="M468" s="36"/>
    </row>
    <row r="469" spans="1:13" ht="18.75" customHeight="1">
      <c r="A469" s="7"/>
      <c r="B469" s="7" t="s">
        <v>356</v>
      </c>
      <c r="C469" s="7" t="s">
        <v>150</v>
      </c>
      <c r="D469" s="25">
        <v>0</v>
      </c>
      <c r="E469" s="25">
        <v>0</v>
      </c>
      <c r="F469" s="25">
        <f>SUM(J469:J472)</f>
        <v>18481500</v>
      </c>
      <c r="G469" s="59">
        <f>F469-D469</f>
        <v>18481500</v>
      </c>
      <c r="H469" s="10" t="s">
        <v>276</v>
      </c>
      <c r="I469" s="11" t="s">
        <v>421</v>
      </c>
      <c r="J469" s="41">
        <f>130*7*9*1350</f>
        <v>11056500</v>
      </c>
      <c r="K469" s="59"/>
      <c r="M469" s="36"/>
    </row>
    <row r="470" spans="1:13" ht="18.75" customHeight="1">
      <c r="A470" s="7"/>
      <c r="B470" s="7"/>
      <c r="C470" s="7"/>
      <c r="D470" s="25"/>
      <c r="E470" s="25"/>
      <c r="F470" s="25"/>
      <c r="G470" s="59"/>
      <c r="H470" s="10" t="s">
        <v>337</v>
      </c>
      <c r="I470" s="11" t="s">
        <v>355</v>
      </c>
      <c r="J470" s="41">
        <f>100*12*9*1350</f>
        <v>14580000</v>
      </c>
      <c r="K470" s="59"/>
      <c r="M470" s="36"/>
    </row>
    <row r="471" spans="1:13" ht="18.75" customHeight="1">
      <c r="A471" s="7"/>
      <c r="B471" s="7"/>
      <c r="C471" s="7"/>
      <c r="D471" s="25"/>
      <c r="E471" s="25"/>
      <c r="F471" s="25"/>
      <c r="G471" s="59"/>
      <c r="H471" s="28" t="s">
        <v>284</v>
      </c>
      <c r="I471" s="11" t="s">
        <v>422</v>
      </c>
      <c r="J471" s="41">
        <f>-100*9*8*1350</f>
        <v>-9720000</v>
      </c>
      <c r="K471" s="59"/>
      <c r="M471" s="36"/>
    </row>
    <row r="472" spans="1:13" ht="18.75" customHeight="1">
      <c r="A472" s="7"/>
      <c r="B472" s="7"/>
      <c r="C472" s="6"/>
      <c r="D472" s="37"/>
      <c r="E472" s="37"/>
      <c r="F472" s="37"/>
      <c r="G472" s="56"/>
      <c r="H472" s="29" t="s">
        <v>119</v>
      </c>
      <c r="I472" s="9" t="s">
        <v>289</v>
      </c>
      <c r="J472" s="40">
        <f>10*19*10*1350</f>
        <v>2565000</v>
      </c>
      <c r="K472" s="56"/>
      <c r="M472" s="36"/>
    </row>
    <row r="473" spans="1:13" ht="18.75" customHeight="1">
      <c r="A473" s="7"/>
      <c r="B473" s="7"/>
      <c r="C473" s="7" t="s">
        <v>145</v>
      </c>
      <c r="D473" s="25">
        <v>0</v>
      </c>
      <c r="E473" s="25">
        <v>0</v>
      </c>
      <c r="F473" s="25">
        <f>SUM(J473:J474)</f>
        <v>1780000</v>
      </c>
      <c r="G473" s="59">
        <f>F473-D473</f>
        <v>1780000</v>
      </c>
      <c r="H473" s="10" t="s">
        <v>261</v>
      </c>
      <c r="I473" s="11" t="s">
        <v>357</v>
      </c>
      <c r="J473" s="41">
        <f>85000*18</f>
        <v>1530000</v>
      </c>
      <c r="K473" s="59"/>
      <c r="M473" s="36"/>
    </row>
    <row r="474" spans="1:13" ht="18.75" customHeight="1">
      <c r="A474" s="7"/>
      <c r="B474" s="7"/>
      <c r="C474" s="6"/>
      <c r="D474" s="37"/>
      <c r="E474" s="37"/>
      <c r="F474" s="37"/>
      <c r="G474" s="56"/>
      <c r="H474" s="8" t="s">
        <v>295</v>
      </c>
      <c r="I474" s="9"/>
      <c r="J474" s="40">
        <v>250000</v>
      </c>
      <c r="K474" s="56"/>
      <c r="M474" s="36"/>
    </row>
    <row r="475" spans="1:13" ht="18.75" customHeight="1">
      <c r="A475" s="7"/>
      <c r="B475" s="6"/>
      <c r="C475" s="6" t="s">
        <v>85</v>
      </c>
      <c r="D475" s="35">
        <v>0</v>
      </c>
      <c r="E475" s="35">
        <v>0</v>
      </c>
      <c r="F475" s="35">
        <f>SUM(J475)</f>
        <v>2000000</v>
      </c>
      <c r="G475" s="58">
        <f>F475-D475</f>
        <v>2000000</v>
      </c>
      <c r="H475" s="8"/>
      <c r="I475" s="9"/>
      <c r="J475" s="40">
        <v>2000000</v>
      </c>
      <c r="K475" s="58"/>
      <c r="M475" s="36"/>
    </row>
    <row r="476" spans="1:13" ht="18.75" customHeight="1">
      <c r="A476" s="7"/>
      <c r="B476" s="7" t="s">
        <v>296</v>
      </c>
      <c r="C476" s="38"/>
      <c r="D476" s="66">
        <v>59380000</v>
      </c>
      <c r="E476" s="66">
        <f>SUM(E477:E493)</f>
        <v>55832015</v>
      </c>
      <c r="F476" s="66">
        <f>SUM(F477:F493)</f>
        <v>71420480</v>
      </c>
      <c r="G476" s="56">
        <f>SUM(G477:G493)</f>
        <v>12040480</v>
      </c>
      <c r="H476" s="29"/>
      <c r="I476" s="21"/>
      <c r="J476" s="49"/>
      <c r="K476" s="56"/>
      <c r="M476" s="36"/>
    </row>
    <row r="477" spans="1:13" ht="18.75" customHeight="1">
      <c r="A477" s="7"/>
      <c r="B477" s="7" t="s">
        <v>149</v>
      </c>
      <c r="C477" s="18" t="s">
        <v>148</v>
      </c>
      <c r="D477" s="25">
        <v>21600000</v>
      </c>
      <c r="E477" s="25">
        <v>13148300</v>
      </c>
      <c r="F477" s="83">
        <f>SUM(J477:J478)</f>
        <v>19256480</v>
      </c>
      <c r="G477" s="57">
        <f>F477-D477</f>
        <v>-2343520</v>
      </c>
      <c r="H477" s="27" t="s">
        <v>297</v>
      </c>
      <c r="I477" s="26" t="s">
        <v>298</v>
      </c>
      <c r="J477" s="81">
        <f>621280*16</f>
        <v>9940480</v>
      </c>
      <c r="K477" s="57"/>
      <c r="M477" s="36"/>
    </row>
    <row r="478" spans="1:13" ht="18.75" customHeight="1">
      <c r="A478" s="7"/>
      <c r="B478" s="7" t="s">
        <v>263</v>
      </c>
      <c r="C478" s="6"/>
      <c r="D478" s="37"/>
      <c r="E478" s="37"/>
      <c r="F478" s="66"/>
      <c r="G478" s="56"/>
      <c r="H478" s="29" t="s">
        <v>299</v>
      </c>
      <c r="I478" s="21" t="s">
        <v>300</v>
      </c>
      <c r="J478" s="49">
        <f>582250*16</f>
        <v>9316000</v>
      </c>
      <c r="K478" s="56"/>
      <c r="M478" s="36"/>
    </row>
    <row r="479" spans="1:13" ht="18.75" customHeight="1">
      <c r="A479" s="7"/>
      <c r="B479" s="7"/>
      <c r="C479" s="18" t="s">
        <v>150</v>
      </c>
      <c r="D479" s="53">
        <v>35280000</v>
      </c>
      <c r="E479" s="53">
        <v>36245010</v>
      </c>
      <c r="F479" s="83">
        <f>SUM(J479:J490)</f>
        <v>49164000</v>
      </c>
      <c r="G479" s="57">
        <f>F479-D479</f>
        <v>13884000</v>
      </c>
      <c r="H479" s="27" t="s">
        <v>301</v>
      </c>
      <c r="I479" s="26" t="s">
        <v>302</v>
      </c>
      <c r="J479" s="81">
        <f>150*4*6*1350</f>
        <v>4860000</v>
      </c>
      <c r="K479" s="57"/>
      <c r="M479" s="36"/>
    </row>
    <row r="480" spans="1:13" ht="18.75" customHeight="1">
      <c r="A480" s="7"/>
      <c r="B480" s="7"/>
      <c r="C480" s="7"/>
      <c r="D480" s="25"/>
      <c r="E480" s="25"/>
      <c r="F480" s="80"/>
      <c r="G480" s="59"/>
      <c r="H480" s="28" t="s">
        <v>304</v>
      </c>
      <c r="I480" s="20" t="s">
        <v>303</v>
      </c>
      <c r="J480" s="48">
        <f>120*12*6*1350</f>
        <v>11664000</v>
      </c>
      <c r="K480" s="59"/>
      <c r="M480" s="36"/>
    </row>
    <row r="481" spans="1:13" ht="18.75" customHeight="1">
      <c r="A481" s="7"/>
      <c r="B481" s="7"/>
      <c r="C481" s="7"/>
      <c r="D481" s="25"/>
      <c r="E481" s="25"/>
      <c r="F481" s="80"/>
      <c r="G481" s="59"/>
      <c r="H481" s="28" t="s">
        <v>305</v>
      </c>
      <c r="I481" s="20" t="s">
        <v>306</v>
      </c>
      <c r="J481" s="48">
        <f>180*4*5*1740</f>
        <v>6264000</v>
      </c>
      <c r="K481" s="59"/>
      <c r="M481" s="36"/>
    </row>
    <row r="482" spans="1:13" ht="18.75" customHeight="1">
      <c r="A482" s="7"/>
      <c r="B482" s="7"/>
      <c r="C482" s="7"/>
      <c r="D482" s="25"/>
      <c r="E482" s="25"/>
      <c r="F482" s="80"/>
      <c r="G482" s="59"/>
      <c r="H482" s="28"/>
      <c r="I482" s="20" t="s">
        <v>307</v>
      </c>
      <c r="J482" s="48">
        <f>150*12*5*1740</f>
        <v>15660000</v>
      </c>
      <c r="K482" s="59"/>
      <c r="M482" s="36"/>
    </row>
    <row r="483" spans="1:13" ht="18.75" customHeight="1">
      <c r="A483" s="7"/>
      <c r="B483" s="7"/>
      <c r="C483" s="7"/>
      <c r="D483" s="25"/>
      <c r="E483" s="25"/>
      <c r="F483" s="80"/>
      <c r="G483" s="59"/>
      <c r="H483" s="28" t="s">
        <v>308</v>
      </c>
      <c r="I483" s="20" t="s">
        <v>309</v>
      </c>
      <c r="J483" s="48">
        <f>10*16*7*1350</f>
        <v>1512000</v>
      </c>
      <c r="K483" s="59"/>
      <c r="M483" s="36"/>
    </row>
    <row r="484" spans="1:13" ht="18.75" customHeight="1">
      <c r="A484" s="7"/>
      <c r="B484" s="7"/>
      <c r="C484" s="7"/>
      <c r="D484" s="80"/>
      <c r="E484" s="80"/>
      <c r="F484" s="80"/>
      <c r="G484" s="59"/>
      <c r="H484" s="28" t="s">
        <v>310</v>
      </c>
      <c r="I484" s="20" t="s">
        <v>311</v>
      </c>
      <c r="J484" s="48">
        <f>10*16*6*1350</f>
        <v>1296000</v>
      </c>
      <c r="K484" s="59"/>
      <c r="M484" s="36"/>
    </row>
    <row r="485" spans="1:13" ht="18.75" customHeight="1">
      <c r="A485" s="7"/>
      <c r="B485" s="7"/>
      <c r="C485" s="7"/>
      <c r="D485" s="80"/>
      <c r="E485" s="80"/>
      <c r="F485" s="80"/>
      <c r="G485" s="59"/>
      <c r="H485" s="28" t="s">
        <v>312</v>
      </c>
      <c r="I485" s="20" t="s">
        <v>313</v>
      </c>
      <c r="J485" s="48">
        <f>20*12*2*1350</f>
        <v>648000</v>
      </c>
      <c r="K485" s="59"/>
      <c r="M485" s="36"/>
    </row>
    <row r="486" spans="1:13" ht="18.75" customHeight="1">
      <c r="A486" s="7"/>
      <c r="B486" s="7"/>
      <c r="C486" s="7"/>
      <c r="D486" s="80"/>
      <c r="E486" s="80"/>
      <c r="F486" s="80"/>
      <c r="G486" s="59"/>
      <c r="H486" s="28" t="s">
        <v>310</v>
      </c>
      <c r="I486" s="20" t="s">
        <v>313</v>
      </c>
      <c r="J486" s="48">
        <f>20*12*2*1350</f>
        <v>648000</v>
      </c>
      <c r="K486" s="59"/>
      <c r="M486" s="36"/>
    </row>
    <row r="487" spans="1:13" ht="18.75" customHeight="1">
      <c r="A487" s="7"/>
      <c r="B487" s="7"/>
      <c r="C487" s="7"/>
      <c r="D487" s="80"/>
      <c r="E487" s="80"/>
      <c r="F487" s="80"/>
      <c r="G487" s="59"/>
      <c r="H487" s="28" t="s">
        <v>314</v>
      </c>
      <c r="I487" s="20" t="s">
        <v>316</v>
      </c>
      <c r="J487" s="48">
        <f>100*4*1740</f>
        <v>696000</v>
      </c>
      <c r="K487" s="59"/>
      <c r="M487" s="36"/>
    </row>
    <row r="488" spans="1:13" ht="18.75" customHeight="1">
      <c r="A488" s="7"/>
      <c r="B488" s="7"/>
      <c r="C488" s="7"/>
      <c r="D488" s="80"/>
      <c r="E488" s="80"/>
      <c r="F488" s="80"/>
      <c r="G488" s="59"/>
      <c r="H488" s="2"/>
      <c r="I488" s="20" t="s">
        <v>315</v>
      </c>
      <c r="J488" s="48">
        <f>125*12*1740</f>
        <v>2610000</v>
      </c>
      <c r="K488" s="59"/>
      <c r="M488" s="36"/>
    </row>
    <row r="489" spans="1:13" ht="18.75" customHeight="1">
      <c r="A489" s="7"/>
      <c r="B489" s="7"/>
      <c r="C489" s="7"/>
      <c r="D489" s="80"/>
      <c r="E489" s="80"/>
      <c r="F489" s="80"/>
      <c r="G489" s="59"/>
      <c r="H489" s="28" t="s">
        <v>310</v>
      </c>
      <c r="I489" s="20" t="s">
        <v>316</v>
      </c>
      <c r="J489" s="48">
        <f>100*4*1740</f>
        <v>696000</v>
      </c>
      <c r="K489" s="59"/>
      <c r="M489" s="36"/>
    </row>
    <row r="490" spans="1:13" ht="18.75" customHeight="1">
      <c r="A490" s="7"/>
      <c r="B490" s="7"/>
      <c r="C490" s="6"/>
      <c r="D490" s="66"/>
      <c r="E490" s="66"/>
      <c r="F490" s="66"/>
      <c r="G490" s="56"/>
      <c r="H490" s="28"/>
      <c r="I490" s="20" t="s">
        <v>315</v>
      </c>
      <c r="J490" s="49">
        <f>125*12*1740</f>
        <v>2610000</v>
      </c>
      <c r="K490" s="56"/>
      <c r="M490" s="36"/>
    </row>
    <row r="491" spans="1:13" ht="18.75" customHeight="1">
      <c r="A491" s="7"/>
      <c r="B491" s="7"/>
      <c r="C491" s="18" t="s">
        <v>145</v>
      </c>
      <c r="D491" s="25">
        <v>500000</v>
      </c>
      <c r="E491" s="25">
        <v>335000</v>
      </c>
      <c r="F491" s="83">
        <f>SUM(J491:J492)</f>
        <v>1000000</v>
      </c>
      <c r="G491" s="57">
        <f>F491-D491</f>
        <v>500000</v>
      </c>
      <c r="H491" s="27" t="s">
        <v>317</v>
      </c>
      <c r="I491" s="26" t="s">
        <v>318</v>
      </c>
      <c r="J491" s="81">
        <f>250000*2</f>
        <v>500000</v>
      </c>
      <c r="K491" s="57"/>
      <c r="M491" s="36"/>
    </row>
    <row r="492" spans="1:13" ht="18.75" customHeight="1">
      <c r="A492" s="7"/>
      <c r="B492" s="7"/>
      <c r="C492" s="6"/>
      <c r="D492" s="37"/>
      <c r="E492" s="37"/>
      <c r="F492" s="66"/>
      <c r="G492" s="56"/>
      <c r="H492" s="29" t="s">
        <v>295</v>
      </c>
      <c r="I492" s="21" t="s">
        <v>318</v>
      </c>
      <c r="J492" s="49">
        <f>250000*2</f>
        <v>500000</v>
      </c>
      <c r="K492" s="56"/>
      <c r="M492" s="36"/>
    </row>
    <row r="493" spans="1:13" ht="18.75" customHeight="1">
      <c r="A493" s="6"/>
      <c r="B493" s="6"/>
      <c r="C493" s="12" t="s">
        <v>85</v>
      </c>
      <c r="D493" s="35">
        <v>2000000</v>
      </c>
      <c r="E493" s="35">
        <v>6103705</v>
      </c>
      <c r="F493" s="71">
        <f>SUM(J493)</f>
        <v>2000000</v>
      </c>
      <c r="G493" s="58">
        <f>F493-D493</f>
        <v>0</v>
      </c>
      <c r="H493" s="85" t="s">
        <v>86</v>
      </c>
      <c r="I493" s="19" t="s">
        <v>319</v>
      </c>
      <c r="J493" s="84">
        <v>2000000</v>
      </c>
      <c r="K493" s="58"/>
      <c r="M493" s="36"/>
    </row>
    <row r="494" spans="1:13" ht="20.25" customHeight="1">
      <c r="A494" s="18" t="s">
        <v>139</v>
      </c>
      <c r="B494" s="7" t="s">
        <v>320</v>
      </c>
      <c r="C494" s="79"/>
      <c r="D494" s="66">
        <v>76420000</v>
      </c>
      <c r="E494" s="66">
        <f>SUM(E495:E509)</f>
        <v>46884850</v>
      </c>
      <c r="F494" s="66">
        <f>SUM(F495:F509)</f>
        <v>113366400</v>
      </c>
      <c r="G494" s="56">
        <f>SUM(G495:G509)</f>
        <v>36946400</v>
      </c>
      <c r="H494" s="28"/>
      <c r="I494" s="20"/>
      <c r="J494" s="48"/>
      <c r="K494" s="56"/>
      <c r="M494" s="36"/>
    </row>
    <row r="495" spans="1:13" ht="20.25" customHeight="1">
      <c r="A495" s="7"/>
      <c r="B495" s="7" t="s">
        <v>149</v>
      </c>
      <c r="C495" s="18" t="s">
        <v>148</v>
      </c>
      <c r="D495" s="83">
        <v>35640000</v>
      </c>
      <c r="E495" s="83">
        <v>14556000</v>
      </c>
      <c r="F495" s="83">
        <f>SUM(J495)</f>
        <v>40000000</v>
      </c>
      <c r="G495" s="57">
        <f>F495-D495</f>
        <v>4360000</v>
      </c>
      <c r="H495" s="27" t="s">
        <v>142</v>
      </c>
      <c r="I495" s="26" t="s">
        <v>321</v>
      </c>
      <c r="J495" s="81">
        <f>2500000*16</f>
        <v>40000000</v>
      </c>
      <c r="K495" s="57"/>
      <c r="M495" s="36"/>
    </row>
    <row r="496" spans="1:13" ht="20.25" customHeight="1">
      <c r="A496" s="7"/>
      <c r="B496" s="7" t="s">
        <v>263</v>
      </c>
      <c r="C496" s="18" t="s">
        <v>150</v>
      </c>
      <c r="D496" s="83">
        <v>35280000</v>
      </c>
      <c r="E496" s="83">
        <v>29765130</v>
      </c>
      <c r="F496" s="83">
        <f>SUM(J496:J506)</f>
        <v>68366400</v>
      </c>
      <c r="G496" s="57">
        <f>F496-D496</f>
        <v>33086400</v>
      </c>
      <c r="H496" s="27" t="s">
        <v>327</v>
      </c>
      <c r="I496" s="26" t="s">
        <v>323</v>
      </c>
      <c r="J496" s="81">
        <f>175*4*7*1740</f>
        <v>8526000</v>
      </c>
      <c r="K496" s="57"/>
      <c r="M496" s="36"/>
    </row>
    <row r="497" spans="1:13" ht="20.25" customHeight="1">
      <c r="A497" s="7"/>
      <c r="B497" s="7"/>
      <c r="C497" s="7"/>
      <c r="D497" s="80"/>
      <c r="E497" s="80"/>
      <c r="F497" s="80"/>
      <c r="G497" s="59"/>
      <c r="H497" s="28" t="s">
        <v>326</v>
      </c>
      <c r="I497" s="20" t="s">
        <v>322</v>
      </c>
      <c r="J497" s="48">
        <f>150*12*7*1740</f>
        <v>21924000</v>
      </c>
      <c r="K497" s="59"/>
      <c r="M497" s="36"/>
    </row>
    <row r="498" spans="1:13" ht="20.25" customHeight="1">
      <c r="A498" s="7"/>
      <c r="B498" s="7"/>
      <c r="C498" s="7"/>
      <c r="D498" s="80"/>
      <c r="E498" s="80"/>
      <c r="F498" s="80"/>
      <c r="G498" s="59"/>
      <c r="H498" s="28" t="s">
        <v>328</v>
      </c>
      <c r="I498" s="20" t="s">
        <v>324</v>
      </c>
      <c r="J498" s="48">
        <f>155*4*1740*7</f>
        <v>7551600</v>
      </c>
      <c r="K498" s="59"/>
      <c r="M498" s="36"/>
    </row>
    <row r="499" spans="1:13" ht="20.25" customHeight="1">
      <c r="A499" s="7"/>
      <c r="B499" s="7"/>
      <c r="C499" s="7"/>
      <c r="D499" s="80"/>
      <c r="E499" s="80"/>
      <c r="F499" s="80"/>
      <c r="G499" s="59"/>
      <c r="H499" s="28" t="s">
        <v>326</v>
      </c>
      <c r="I499" s="20" t="s">
        <v>325</v>
      </c>
      <c r="J499" s="48">
        <f>130*12*7*1740</f>
        <v>19000800</v>
      </c>
      <c r="K499" s="59"/>
      <c r="M499" s="36"/>
    </row>
    <row r="500" spans="1:13" ht="20.25" customHeight="1">
      <c r="A500" s="7"/>
      <c r="B500" s="7"/>
      <c r="C500" s="7"/>
      <c r="D500" s="80"/>
      <c r="E500" s="80"/>
      <c r="F500" s="80"/>
      <c r="G500" s="59"/>
      <c r="H500" s="28" t="s">
        <v>332</v>
      </c>
      <c r="I500" s="20" t="s">
        <v>329</v>
      </c>
      <c r="J500" s="48">
        <f>10*16*16*1350</f>
        <v>3456000</v>
      </c>
      <c r="K500" s="59"/>
      <c r="M500" s="36"/>
    </row>
    <row r="501" spans="1:13" ht="20.25" customHeight="1">
      <c r="A501" s="7"/>
      <c r="B501" s="7"/>
      <c r="C501" s="7"/>
      <c r="D501" s="80"/>
      <c r="E501" s="80"/>
      <c r="F501" s="80"/>
      <c r="G501" s="59"/>
      <c r="H501" s="28" t="s">
        <v>312</v>
      </c>
      <c r="I501" s="20" t="s">
        <v>313</v>
      </c>
      <c r="J501" s="48">
        <f>20*12*2*1350</f>
        <v>648000</v>
      </c>
      <c r="K501" s="59"/>
      <c r="M501" s="36"/>
    </row>
    <row r="502" spans="1:13" ht="20.25" customHeight="1">
      <c r="A502" s="7"/>
      <c r="B502" s="7"/>
      <c r="C502" s="7"/>
      <c r="D502" s="80"/>
      <c r="E502" s="80"/>
      <c r="F502" s="80"/>
      <c r="G502" s="59"/>
      <c r="H502" s="28" t="s">
        <v>310</v>
      </c>
      <c r="I502" s="20" t="s">
        <v>313</v>
      </c>
      <c r="J502" s="48">
        <f>20*12*2*1350</f>
        <v>648000</v>
      </c>
      <c r="K502" s="59"/>
      <c r="M502" s="36"/>
    </row>
    <row r="503" spans="1:13" ht="20.25" customHeight="1">
      <c r="A503" s="7"/>
      <c r="B503" s="7"/>
      <c r="C503" s="7"/>
      <c r="D503" s="80"/>
      <c r="E503" s="80"/>
      <c r="F503" s="80"/>
      <c r="G503" s="59"/>
      <c r="H503" s="28" t="s">
        <v>330</v>
      </c>
      <c r="I503" s="20" t="s">
        <v>316</v>
      </c>
      <c r="J503" s="48">
        <f>100*4*1740</f>
        <v>696000</v>
      </c>
      <c r="K503" s="59"/>
      <c r="M503" s="36"/>
    </row>
    <row r="504" spans="1:13" ht="20.25" customHeight="1">
      <c r="A504" s="7"/>
      <c r="B504" s="7"/>
      <c r="C504" s="7"/>
      <c r="D504" s="80"/>
      <c r="E504" s="80"/>
      <c r="F504" s="80"/>
      <c r="G504" s="59"/>
      <c r="H504" s="2"/>
      <c r="I504" s="20" t="s">
        <v>315</v>
      </c>
      <c r="J504" s="48">
        <f>125*12*1740</f>
        <v>2610000</v>
      </c>
      <c r="K504" s="59"/>
      <c r="M504" s="36"/>
    </row>
    <row r="505" spans="1:13" ht="20.25" customHeight="1">
      <c r="A505" s="7"/>
      <c r="B505" s="7"/>
      <c r="C505" s="7"/>
      <c r="D505" s="80"/>
      <c r="E505" s="80"/>
      <c r="F505" s="80"/>
      <c r="G505" s="59"/>
      <c r="H505" s="28" t="s">
        <v>331</v>
      </c>
      <c r="I505" s="20" t="s">
        <v>316</v>
      </c>
      <c r="J505" s="48">
        <f>100*4*1740</f>
        <v>696000</v>
      </c>
      <c r="K505" s="59"/>
      <c r="M505" s="36"/>
    </row>
    <row r="506" spans="1:13" ht="20.25" customHeight="1">
      <c r="A506" s="7"/>
      <c r="B506" s="7"/>
      <c r="C506" s="6"/>
      <c r="D506" s="66"/>
      <c r="E506" s="66"/>
      <c r="F506" s="66"/>
      <c r="G506" s="56"/>
      <c r="H506" s="29"/>
      <c r="I506" s="21" t="s">
        <v>315</v>
      </c>
      <c r="J506" s="49">
        <f>125*12*1740</f>
        <v>2610000</v>
      </c>
      <c r="K506" s="56"/>
      <c r="M506" s="36"/>
    </row>
    <row r="507" spans="1:13" ht="20.25" customHeight="1">
      <c r="A507" s="7"/>
      <c r="B507" s="7"/>
      <c r="C507" s="18" t="s">
        <v>145</v>
      </c>
      <c r="D507" s="83">
        <v>500000</v>
      </c>
      <c r="E507" s="83">
        <v>553500</v>
      </c>
      <c r="F507" s="83">
        <f>SUM(J507:J508)</f>
        <v>1000000</v>
      </c>
      <c r="G507" s="57">
        <f>F507-D507</f>
        <v>500000</v>
      </c>
      <c r="H507" s="27" t="s">
        <v>146</v>
      </c>
      <c r="I507" s="26" t="s">
        <v>318</v>
      </c>
      <c r="J507" s="81">
        <f>250000*2</f>
        <v>500000</v>
      </c>
      <c r="K507" s="57"/>
      <c r="M507" s="36"/>
    </row>
    <row r="508" spans="1:13" ht="20.25" customHeight="1">
      <c r="A508" s="7"/>
      <c r="B508" s="7"/>
      <c r="C508" s="6"/>
      <c r="D508" s="66"/>
      <c r="E508" s="66"/>
      <c r="F508" s="66"/>
      <c r="G508" s="56"/>
      <c r="H508" s="29" t="s">
        <v>295</v>
      </c>
      <c r="I508" s="21" t="s">
        <v>318</v>
      </c>
      <c r="J508" s="49">
        <f>250000*2</f>
        <v>500000</v>
      </c>
      <c r="K508" s="56"/>
      <c r="M508" s="36"/>
    </row>
    <row r="509" spans="1:13" ht="20.25" customHeight="1">
      <c r="A509" s="7"/>
      <c r="B509" s="6"/>
      <c r="C509" s="12" t="s">
        <v>85</v>
      </c>
      <c r="D509" s="71">
        <v>5000000</v>
      </c>
      <c r="E509" s="71">
        <v>2010220</v>
      </c>
      <c r="F509" s="71">
        <f>SUM(J509)</f>
        <v>4000000</v>
      </c>
      <c r="G509" s="58">
        <f t="shared" ref="G509:G518" si="19">F509-D509</f>
        <v>-1000000</v>
      </c>
      <c r="H509" s="85" t="s">
        <v>86</v>
      </c>
      <c r="I509" s="19" t="s">
        <v>333</v>
      </c>
      <c r="J509" s="84">
        <f>2000000*2</f>
        <v>4000000</v>
      </c>
      <c r="K509" s="58"/>
      <c r="M509" s="36"/>
    </row>
    <row r="510" spans="1:13" ht="20.25" customHeight="1">
      <c r="A510" s="7"/>
      <c r="B510" s="7" t="s">
        <v>791</v>
      </c>
      <c r="C510" s="12"/>
      <c r="D510" s="71">
        <v>0</v>
      </c>
      <c r="E510" s="71">
        <f>SUM(E511:E513)</f>
        <v>22843234</v>
      </c>
      <c r="F510" s="71">
        <f>SUM(F511:F513)</f>
        <v>0</v>
      </c>
      <c r="G510" s="35">
        <f t="shared" si="19"/>
        <v>0</v>
      </c>
      <c r="H510" s="85"/>
      <c r="I510" s="19"/>
      <c r="J510" s="84"/>
      <c r="K510" s="58"/>
      <c r="M510" s="36"/>
    </row>
    <row r="511" spans="1:13" ht="20.25" customHeight="1">
      <c r="A511" s="7"/>
      <c r="B511" s="7" t="s">
        <v>792</v>
      </c>
      <c r="C511" s="12" t="s">
        <v>148</v>
      </c>
      <c r="D511" s="71">
        <v>0</v>
      </c>
      <c r="E511" s="71">
        <v>6511200</v>
      </c>
      <c r="F511" s="71">
        <v>0</v>
      </c>
      <c r="G511" s="35">
        <f t="shared" si="19"/>
        <v>0</v>
      </c>
      <c r="H511" s="85"/>
      <c r="I511" s="19"/>
      <c r="J511" s="84"/>
      <c r="K511" s="58"/>
      <c r="M511" s="36"/>
    </row>
    <row r="512" spans="1:13" ht="20.25" customHeight="1">
      <c r="A512" s="7"/>
      <c r="B512" s="7"/>
      <c r="C512" s="12" t="s">
        <v>150</v>
      </c>
      <c r="D512" s="71">
        <v>0</v>
      </c>
      <c r="E512" s="71">
        <v>13394850</v>
      </c>
      <c r="F512" s="71">
        <v>0</v>
      </c>
      <c r="G512" s="35">
        <f t="shared" si="19"/>
        <v>0</v>
      </c>
      <c r="H512" s="85"/>
      <c r="I512" s="19"/>
      <c r="J512" s="84"/>
      <c r="K512" s="58"/>
      <c r="M512" s="36"/>
    </row>
    <row r="513" spans="1:13" ht="20.25" customHeight="1">
      <c r="A513" s="7"/>
      <c r="B513" s="6"/>
      <c r="C513" s="6" t="s">
        <v>85</v>
      </c>
      <c r="D513" s="71">
        <v>0</v>
      </c>
      <c r="E513" s="71">
        <v>2937184</v>
      </c>
      <c r="F513" s="71">
        <v>0</v>
      </c>
      <c r="G513" s="35">
        <f t="shared" si="19"/>
        <v>0</v>
      </c>
      <c r="H513" s="85"/>
      <c r="I513" s="19"/>
      <c r="J513" s="84"/>
      <c r="K513" s="58"/>
      <c r="M513" s="36"/>
    </row>
    <row r="514" spans="1:13" ht="20.25" customHeight="1">
      <c r="A514" s="7"/>
      <c r="B514" s="7" t="s">
        <v>793</v>
      </c>
      <c r="C514" s="6"/>
      <c r="D514" s="71">
        <f>SUM(D515:D518)</f>
        <v>0</v>
      </c>
      <c r="E514" s="71">
        <f>SUM(E515:E518)</f>
        <v>38861080</v>
      </c>
      <c r="F514" s="71">
        <f>SUM(F515:F518)</f>
        <v>0</v>
      </c>
      <c r="G514" s="35">
        <f t="shared" si="19"/>
        <v>0</v>
      </c>
      <c r="H514" s="85"/>
      <c r="I514" s="19"/>
      <c r="J514" s="84"/>
      <c r="K514" s="58"/>
      <c r="M514" s="36"/>
    </row>
    <row r="515" spans="1:13" ht="20.25" customHeight="1">
      <c r="A515" s="7"/>
      <c r="B515" s="7" t="s">
        <v>149</v>
      </c>
      <c r="C515" s="6" t="s">
        <v>148</v>
      </c>
      <c r="D515" s="71">
        <v>0</v>
      </c>
      <c r="E515" s="71">
        <v>22000900</v>
      </c>
      <c r="F515" s="71">
        <v>0</v>
      </c>
      <c r="G515" s="35">
        <f t="shared" si="19"/>
        <v>0</v>
      </c>
      <c r="H515" s="85"/>
      <c r="I515" s="19"/>
      <c r="J515" s="84"/>
      <c r="K515" s="58"/>
      <c r="M515" s="36"/>
    </row>
    <row r="516" spans="1:13" ht="20.25" customHeight="1">
      <c r="A516" s="7"/>
      <c r="B516" s="7" t="s">
        <v>794</v>
      </c>
      <c r="C516" s="6" t="s">
        <v>150</v>
      </c>
      <c r="D516" s="71">
        <v>0</v>
      </c>
      <c r="E516" s="71">
        <v>14680830</v>
      </c>
      <c r="F516" s="71">
        <v>0</v>
      </c>
      <c r="G516" s="35">
        <f t="shared" si="19"/>
        <v>0</v>
      </c>
      <c r="H516" s="85"/>
      <c r="I516" s="19"/>
      <c r="J516" s="84"/>
      <c r="K516" s="58"/>
      <c r="M516" s="36"/>
    </row>
    <row r="517" spans="1:13" ht="20.25" customHeight="1">
      <c r="A517" s="7"/>
      <c r="B517" s="7"/>
      <c r="C517" s="6" t="s">
        <v>145</v>
      </c>
      <c r="D517" s="71">
        <v>0</v>
      </c>
      <c r="E517" s="71">
        <v>180000</v>
      </c>
      <c r="F517" s="71">
        <v>0</v>
      </c>
      <c r="G517" s="35">
        <f t="shared" si="19"/>
        <v>0</v>
      </c>
      <c r="H517" s="85"/>
      <c r="I517" s="19"/>
      <c r="J517" s="84"/>
      <c r="K517" s="58"/>
      <c r="M517" s="36"/>
    </row>
    <row r="518" spans="1:13" ht="20.25" customHeight="1">
      <c r="A518" s="6"/>
      <c r="B518" s="6"/>
      <c r="C518" s="6" t="s">
        <v>85</v>
      </c>
      <c r="D518" s="71">
        <v>0</v>
      </c>
      <c r="E518" s="71">
        <v>1999350</v>
      </c>
      <c r="F518" s="71">
        <v>0</v>
      </c>
      <c r="G518" s="35">
        <f t="shared" si="19"/>
        <v>0</v>
      </c>
      <c r="H518" s="85"/>
      <c r="I518" s="19"/>
      <c r="J518" s="84"/>
      <c r="K518" s="58"/>
      <c r="M518" s="36"/>
    </row>
    <row r="519" spans="1:13" ht="19.5" customHeight="1">
      <c r="A519" s="18" t="s">
        <v>139</v>
      </c>
      <c r="B519" s="7" t="s">
        <v>384</v>
      </c>
      <c r="C519" s="6"/>
      <c r="D519" s="35">
        <f>SUM(D520:D526)</f>
        <v>0</v>
      </c>
      <c r="E519" s="35"/>
      <c r="F519" s="35">
        <f>SUM(F520:F526)</f>
        <v>35677300</v>
      </c>
      <c r="G519" s="58">
        <f>SUM(G520:G526)</f>
        <v>35677300</v>
      </c>
      <c r="H519" s="85"/>
      <c r="I519" s="19"/>
      <c r="J519" s="84"/>
      <c r="K519" s="58"/>
      <c r="M519" s="36"/>
    </row>
    <row r="520" spans="1:13" ht="19.5" customHeight="1">
      <c r="A520" s="7"/>
      <c r="B520" s="7" t="s">
        <v>385</v>
      </c>
      <c r="C520" s="12" t="s">
        <v>148</v>
      </c>
      <c r="D520" s="71">
        <v>0</v>
      </c>
      <c r="E520" s="71"/>
      <c r="F520" s="71">
        <f>SUM(J520)</f>
        <v>22000000</v>
      </c>
      <c r="G520" s="58">
        <f>F520-D520</f>
        <v>22000000</v>
      </c>
      <c r="H520" s="85" t="s">
        <v>142</v>
      </c>
      <c r="I520" s="19" t="s">
        <v>386</v>
      </c>
      <c r="J520" s="84">
        <f>2000000*11</f>
        <v>22000000</v>
      </c>
      <c r="K520" s="58"/>
      <c r="M520" s="36"/>
    </row>
    <row r="521" spans="1:13" ht="19.5" customHeight="1">
      <c r="A521" s="7"/>
      <c r="B521" s="7"/>
      <c r="C521" s="7" t="s">
        <v>150</v>
      </c>
      <c r="D521" s="80">
        <v>0</v>
      </c>
      <c r="E521" s="80"/>
      <c r="F521" s="80">
        <f>SUM(J521:J524)</f>
        <v>11427300</v>
      </c>
      <c r="G521" s="59">
        <f>F521-D521</f>
        <v>11427300</v>
      </c>
      <c r="H521" s="28" t="s">
        <v>358</v>
      </c>
      <c r="I521" s="20" t="s">
        <v>387</v>
      </c>
      <c r="J521" s="48">
        <f>145*3*6*1740</f>
        <v>4541400</v>
      </c>
      <c r="K521" s="59"/>
      <c r="M521" s="36"/>
    </row>
    <row r="522" spans="1:13" ht="19.5" customHeight="1">
      <c r="A522" s="7"/>
      <c r="B522" s="7"/>
      <c r="C522" s="7"/>
      <c r="D522" s="80"/>
      <c r="E522" s="80"/>
      <c r="F522" s="80"/>
      <c r="G522" s="59"/>
      <c r="H522" s="28" t="s">
        <v>359</v>
      </c>
      <c r="I522" s="20" t="s">
        <v>388</v>
      </c>
      <c r="J522" s="48">
        <f>120*8*6*1740</f>
        <v>10022400</v>
      </c>
      <c r="K522" s="59"/>
      <c r="M522" s="36"/>
    </row>
    <row r="523" spans="1:13" ht="19.5" customHeight="1">
      <c r="A523" s="7"/>
      <c r="B523" s="7"/>
      <c r="C523" s="7"/>
      <c r="D523" s="80"/>
      <c r="E523" s="80"/>
      <c r="F523" s="80"/>
      <c r="G523" s="59"/>
      <c r="H523" s="28" t="s">
        <v>361</v>
      </c>
      <c r="I523" s="20" t="s">
        <v>389</v>
      </c>
      <c r="J523" s="48">
        <f>-1740*120*4*5</f>
        <v>-4176000</v>
      </c>
      <c r="K523" s="59"/>
      <c r="M523" s="36"/>
    </row>
    <row r="524" spans="1:13" ht="19.5" customHeight="1">
      <c r="A524" s="7"/>
      <c r="B524" s="7"/>
      <c r="C524" s="6"/>
      <c r="D524" s="66"/>
      <c r="E524" s="66"/>
      <c r="F524" s="66"/>
      <c r="G524" s="56"/>
      <c r="H524" s="29" t="s">
        <v>119</v>
      </c>
      <c r="I524" s="21" t="s">
        <v>390</v>
      </c>
      <c r="J524" s="49">
        <f>10*11*7*1350</f>
        <v>1039500</v>
      </c>
      <c r="K524" s="56"/>
      <c r="M524" s="36"/>
    </row>
    <row r="525" spans="1:13" ht="19.5" customHeight="1">
      <c r="A525" s="7"/>
      <c r="B525" s="7"/>
      <c r="C525" s="12" t="s">
        <v>145</v>
      </c>
      <c r="D525" s="71">
        <v>0</v>
      </c>
      <c r="E525" s="71"/>
      <c r="F525" s="71">
        <f>SUM(J525)</f>
        <v>250000</v>
      </c>
      <c r="G525" s="58">
        <f>F525-D525</f>
        <v>250000</v>
      </c>
      <c r="H525" s="85" t="s">
        <v>295</v>
      </c>
      <c r="I525" s="19"/>
      <c r="J525" s="84">
        <v>250000</v>
      </c>
      <c r="K525" s="58"/>
      <c r="M525" s="36"/>
    </row>
    <row r="526" spans="1:13" ht="19.5" customHeight="1">
      <c r="A526" s="7"/>
      <c r="B526" s="6"/>
      <c r="C526" s="12" t="s">
        <v>85</v>
      </c>
      <c r="D526" s="71">
        <v>0</v>
      </c>
      <c r="E526" s="71"/>
      <c r="F526" s="71">
        <f>SUM(J526)</f>
        <v>2000000</v>
      </c>
      <c r="G526" s="58">
        <f>F526-D526</f>
        <v>2000000</v>
      </c>
      <c r="H526" s="85" t="s">
        <v>86</v>
      </c>
      <c r="I526" s="19"/>
      <c r="J526" s="84">
        <v>2000000</v>
      </c>
      <c r="K526" s="58"/>
      <c r="M526" s="36"/>
    </row>
    <row r="527" spans="1:13" ht="19.5" customHeight="1">
      <c r="A527" s="7"/>
      <c r="B527" s="7" t="s">
        <v>147</v>
      </c>
      <c r="C527" s="38"/>
      <c r="D527" s="66">
        <v>6970000</v>
      </c>
      <c r="E527" s="66">
        <f>SUM(E528:E535)</f>
        <v>9122789</v>
      </c>
      <c r="F527" s="66">
        <f>SUM(F528:F535)</f>
        <v>5240180</v>
      </c>
      <c r="G527" s="56">
        <f>F527-D527</f>
        <v>-1729820</v>
      </c>
      <c r="H527" s="29"/>
      <c r="I527" s="21"/>
      <c r="J527" s="49"/>
      <c r="K527" s="56"/>
      <c r="M527" s="36"/>
    </row>
    <row r="528" spans="1:13" ht="19.5" customHeight="1">
      <c r="A528" s="7"/>
      <c r="B528" s="7" t="s">
        <v>263</v>
      </c>
      <c r="C528" s="38" t="s">
        <v>148</v>
      </c>
      <c r="D528" s="66">
        <v>4550000</v>
      </c>
      <c r="E528" s="66">
        <v>5085500</v>
      </c>
      <c r="F528" s="66">
        <f>SUM(J528)</f>
        <v>3727680</v>
      </c>
      <c r="G528" s="56">
        <f>F528-D528</f>
        <v>-822320</v>
      </c>
      <c r="H528" s="29" t="s">
        <v>254</v>
      </c>
      <c r="I528" s="21" t="s">
        <v>367</v>
      </c>
      <c r="J528" s="49">
        <f>621280*6</f>
        <v>3727680</v>
      </c>
      <c r="K528" s="56"/>
      <c r="M528" s="36"/>
    </row>
    <row r="529" spans="1:13" ht="19.5" customHeight="1">
      <c r="A529" s="7"/>
      <c r="B529" s="7"/>
      <c r="C529" s="79" t="s">
        <v>256</v>
      </c>
      <c r="D529" s="80">
        <v>1920000</v>
      </c>
      <c r="E529" s="80">
        <v>1526089</v>
      </c>
      <c r="F529" s="80">
        <f>SUM(J529:J533)</f>
        <v>1012500</v>
      </c>
      <c r="G529" s="59">
        <f>F529-D529</f>
        <v>-907500</v>
      </c>
      <c r="H529" s="28" t="s">
        <v>358</v>
      </c>
      <c r="I529" s="20" t="s">
        <v>368</v>
      </c>
      <c r="J529" s="48">
        <f>170*2*3*1350</f>
        <v>1377000</v>
      </c>
      <c r="K529" s="59"/>
      <c r="M529" s="36"/>
    </row>
    <row r="530" spans="1:13" ht="19.5" customHeight="1">
      <c r="A530" s="7"/>
      <c r="B530" s="7"/>
      <c r="C530" s="7"/>
      <c r="D530" s="80"/>
      <c r="E530" s="80"/>
      <c r="F530" s="80"/>
      <c r="G530" s="59"/>
      <c r="H530" s="28" t="s">
        <v>359</v>
      </c>
      <c r="I530" s="20" t="s">
        <v>369</v>
      </c>
      <c r="J530" s="48">
        <f>150*4*3*1350</f>
        <v>2430000</v>
      </c>
      <c r="K530" s="59"/>
      <c r="M530" s="36"/>
    </row>
    <row r="531" spans="1:13" ht="19.5" customHeight="1">
      <c r="A531" s="7"/>
      <c r="B531" s="7"/>
      <c r="C531" s="7"/>
      <c r="D531" s="80"/>
      <c r="E531" s="80"/>
      <c r="F531" s="80"/>
      <c r="G531" s="59"/>
      <c r="H531" s="28" t="s">
        <v>361</v>
      </c>
      <c r="I531" s="20" t="s">
        <v>370</v>
      </c>
      <c r="J531" s="48">
        <f>-150*4*1350*3</f>
        <v>-2430000</v>
      </c>
      <c r="K531" s="59"/>
      <c r="M531" s="36"/>
    </row>
    <row r="532" spans="1:13" ht="19.5" customHeight="1">
      <c r="A532" s="7"/>
      <c r="B532" s="7"/>
      <c r="C532" s="7"/>
      <c r="D532" s="80"/>
      <c r="E532" s="80"/>
      <c r="F532" s="80"/>
      <c r="G532" s="59"/>
      <c r="H532" s="28"/>
      <c r="I532" s="20" t="s">
        <v>371</v>
      </c>
      <c r="J532" s="48">
        <f>-170*1*3*1350</f>
        <v>-688500</v>
      </c>
      <c r="K532" s="59"/>
      <c r="M532" s="36"/>
    </row>
    <row r="533" spans="1:13" ht="19.5" customHeight="1">
      <c r="A533" s="7"/>
      <c r="B533" s="7"/>
      <c r="C533" s="6"/>
      <c r="D533" s="66"/>
      <c r="E533" s="66"/>
      <c r="F533" s="66"/>
      <c r="G533" s="56"/>
      <c r="H533" s="29" t="s">
        <v>119</v>
      </c>
      <c r="I533" s="21" t="s">
        <v>372</v>
      </c>
      <c r="J533" s="49">
        <f>10*6*4*1350</f>
        <v>324000</v>
      </c>
      <c r="K533" s="56"/>
      <c r="M533" s="36"/>
    </row>
    <row r="534" spans="1:13" ht="19.5" customHeight="1">
      <c r="A534" s="7"/>
      <c r="B534" s="7"/>
      <c r="C534" s="38" t="s">
        <v>37</v>
      </c>
      <c r="D534" s="66">
        <v>0</v>
      </c>
      <c r="E534" s="66">
        <v>783216</v>
      </c>
      <c r="F534" s="66">
        <v>0</v>
      </c>
      <c r="G534" s="37">
        <f>F534-D534</f>
        <v>0</v>
      </c>
      <c r="H534" s="29"/>
      <c r="I534" s="21"/>
      <c r="J534" s="49"/>
      <c r="K534" s="56"/>
      <c r="M534" s="36"/>
    </row>
    <row r="535" spans="1:13" ht="19.5" customHeight="1">
      <c r="A535" s="7"/>
      <c r="B535" s="6"/>
      <c r="C535" s="38" t="s">
        <v>85</v>
      </c>
      <c r="D535" s="66">
        <v>500000</v>
      </c>
      <c r="E535" s="66">
        <v>1727984</v>
      </c>
      <c r="F535" s="66">
        <f>SUM(J535)</f>
        <v>500000</v>
      </c>
      <c r="G535" s="37">
        <f>F535-D535</f>
        <v>0</v>
      </c>
      <c r="H535" s="29" t="s">
        <v>249</v>
      </c>
      <c r="I535" s="21"/>
      <c r="J535" s="49">
        <v>500000</v>
      </c>
      <c r="K535" s="56"/>
      <c r="M535" s="36"/>
    </row>
    <row r="536" spans="1:13" ht="19.5" customHeight="1">
      <c r="A536" s="7"/>
      <c r="B536" s="7" t="s">
        <v>153</v>
      </c>
      <c r="C536" s="6"/>
      <c r="D536" s="35">
        <v>25380000</v>
      </c>
      <c r="E536" s="35">
        <f>SUM(E537:E544)</f>
        <v>27641706</v>
      </c>
      <c r="F536" s="35">
        <f>SUM(F537:F544)</f>
        <v>40018500</v>
      </c>
      <c r="G536" s="58">
        <f t="shared" ref="G536:G547" si="20">F536-D536</f>
        <v>14638500</v>
      </c>
      <c r="H536" s="13"/>
      <c r="I536" s="14"/>
      <c r="J536" s="42"/>
      <c r="K536" s="58"/>
      <c r="M536" s="36"/>
    </row>
    <row r="537" spans="1:13" ht="19.5" customHeight="1">
      <c r="A537" s="7"/>
      <c r="B537" s="7" t="s">
        <v>154</v>
      </c>
      <c r="C537" s="6" t="s">
        <v>148</v>
      </c>
      <c r="D537" s="37">
        <v>9360000</v>
      </c>
      <c r="E537" s="37">
        <v>12473000</v>
      </c>
      <c r="F537" s="37">
        <f>SUM(J537)</f>
        <v>15200000</v>
      </c>
      <c r="G537" s="56">
        <f t="shared" si="20"/>
        <v>5840000</v>
      </c>
      <c r="H537" s="8" t="s">
        <v>254</v>
      </c>
      <c r="I537" s="9" t="s">
        <v>334</v>
      </c>
      <c r="J537" s="40">
        <f>800000*19</f>
        <v>15200000</v>
      </c>
      <c r="K537" s="56"/>
      <c r="M537" s="36"/>
    </row>
    <row r="538" spans="1:13" ht="19.5" customHeight="1">
      <c r="A538" s="7"/>
      <c r="B538" s="7" t="s">
        <v>140</v>
      </c>
      <c r="C538" s="18" t="s">
        <v>150</v>
      </c>
      <c r="D538" s="53">
        <v>13520000</v>
      </c>
      <c r="E538" s="53">
        <v>12170076</v>
      </c>
      <c r="F538" s="53">
        <f>SUM(J538:J541)</f>
        <v>22318500</v>
      </c>
      <c r="G538" s="57">
        <f t="shared" si="20"/>
        <v>8798500</v>
      </c>
      <c r="H538" s="28" t="s">
        <v>276</v>
      </c>
      <c r="I538" s="16" t="s">
        <v>335</v>
      </c>
      <c r="J538" s="43">
        <f>150*3*1740*8</f>
        <v>6264000</v>
      </c>
      <c r="K538" s="57"/>
      <c r="M538" s="36"/>
    </row>
    <row r="539" spans="1:13" ht="19.5" customHeight="1">
      <c r="A539" s="7"/>
      <c r="B539" s="7" t="s">
        <v>263</v>
      </c>
      <c r="C539" s="7"/>
      <c r="D539" s="25"/>
      <c r="E539" s="25"/>
      <c r="F539" s="25"/>
      <c r="G539" s="59"/>
      <c r="H539" s="10" t="s">
        <v>337</v>
      </c>
      <c r="I539" s="11" t="s">
        <v>336</v>
      </c>
      <c r="J539" s="41">
        <f>100*16*8*1740</f>
        <v>22272000</v>
      </c>
      <c r="K539" s="59"/>
      <c r="M539" s="36"/>
    </row>
    <row r="540" spans="1:13" ht="19.5" customHeight="1">
      <c r="A540" s="7"/>
      <c r="B540" s="7"/>
      <c r="C540" s="7"/>
      <c r="D540" s="25"/>
      <c r="E540" s="25"/>
      <c r="F540" s="25"/>
      <c r="G540" s="59"/>
      <c r="H540" s="28" t="s">
        <v>284</v>
      </c>
      <c r="I540" s="11" t="s">
        <v>338</v>
      </c>
      <c r="J540" s="48">
        <f>-100*7*7*1740</f>
        <v>-8526000</v>
      </c>
      <c r="K540" s="59"/>
      <c r="M540" s="36"/>
    </row>
    <row r="541" spans="1:13" ht="19.5" customHeight="1">
      <c r="A541" s="7"/>
      <c r="B541" s="7"/>
      <c r="C541" s="6"/>
      <c r="D541" s="37"/>
      <c r="E541" s="37"/>
      <c r="F541" s="37"/>
      <c r="G541" s="56"/>
      <c r="H541" s="8" t="s">
        <v>271</v>
      </c>
      <c r="I541" s="9" t="s">
        <v>339</v>
      </c>
      <c r="J541" s="40">
        <f>10*19*9*1350</f>
        <v>2308500</v>
      </c>
      <c r="K541" s="56"/>
      <c r="M541" s="36"/>
    </row>
    <row r="542" spans="1:13" ht="19.5" customHeight="1">
      <c r="A542" s="7"/>
      <c r="B542" s="7"/>
      <c r="C542" s="7" t="s">
        <v>145</v>
      </c>
      <c r="D542" s="25">
        <v>500000</v>
      </c>
      <c r="E542" s="25">
        <v>0</v>
      </c>
      <c r="F542" s="25">
        <f>SUM(J542:J543)</f>
        <v>500000</v>
      </c>
      <c r="G542" s="25">
        <f t="shared" si="20"/>
        <v>0</v>
      </c>
      <c r="H542" s="10" t="s">
        <v>317</v>
      </c>
      <c r="I542" s="11"/>
      <c r="J542" s="41">
        <v>250000</v>
      </c>
      <c r="K542" s="59"/>
      <c r="M542" s="36"/>
    </row>
    <row r="543" spans="1:13" ht="19.5" customHeight="1">
      <c r="A543" s="7"/>
      <c r="B543" s="7"/>
      <c r="C543" s="6"/>
      <c r="D543" s="37"/>
      <c r="E543" s="37"/>
      <c r="F543" s="37"/>
      <c r="G543" s="56"/>
      <c r="H543" s="8" t="s">
        <v>295</v>
      </c>
      <c r="I543" s="9"/>
      <c r="J543" s="40">
        <v>250000</v>
      </c>
      <c r="K543" s="56"/>
      <c r="M543" s="36"/>
    </row>
    <row r="544" spans="1:13" ht="19.5" customHeight="1">
      <c r="A544" s="6"/>
      <c r="B544" s="6"/>
      <c r="C544" s="6" t="s">
        <v>85</v>
      </c>
      <c r="D544" s="35">
        <v>2000000</v>
      </c>
      <c r="E544" s="35">
        <v>2998630</v>
      </c>
      <c r="F544" s="35">
        <f>SUM(J544)</f>
        <v>2000000</v>
      </c>
      <c r="G544" s="35">
        <f t="shared" si="20"/>
        <v>0</v>
      </c>
      <c r="H544" s="8" t="s">
        <v>249</v>
      </c>
      <c r="I544" s="9"/>
      <c r="J544" s="40">
        <v>2000000</v>
      </c>
      <c r="K544" s="58"/>
      <c r="M544" s="36"/>
    </row>
    <row r="545" spans="1:13" ht="17.25" customHeight="1">
      <c r="A545" s="18" t="s">
        <v>139</v>
      </c>
      <c r="B545" s="7" t="s">
        <v>155</v>
      </c>
      <c r="C545" s="6"/>
      <c r="D545" s="37">
        <v>37150000</v>
      </c>
      <c r="E545" s="37">
        <f>SUM(E546:E556)</f>
        <v>43588588</v>
      </c>
      <c r="F545" s="37">
        <f>SUM(F546:F556)</f>
        <v>70971920</v>
      </c>
      <c r="G545" s="56">
        <f t="shared" si="20"/>
        <v>33821920</v>
      </c>
      <c r="H545" s="8"/>
      <c r="I545" s="14"/>
      <c r="J545" s="42"/>
      <c r="K545" s="56"/>
      <c r="M545" s="36"/>
    </row>
    <row r="546" spans="1:13" ht="17.25" customHeight="1">
      <c r="A546" s="7"/>
      <c r="B546" s="7" t="s">
        <v>140</v>
      </c>
      <c r="C546" s="6" t="s">
        <v>148</v>
      </c>
      <c r="D546" s="37">
        <v>21780000</v>
      </c>
      <c r="E546" s="37">
        <v>20970800</v>
      </c>
      <c r="F546" s="37">
        <f>SUM(J546)</f>
        <v>37489600</v>
      </c>
      <c r="G546" s="56">
        <f t="shared" si="20"/>
        <v>15709600</v>
      </c>
      <c r="H546" s="8" t="s">
        <v>142</v>
      </c>
      <c r="I546" s="9" t="s">
        <v>625</v>
      </c>
      <c r="J546" s="40">
        <f>2343100*16</f>
        <v>37489600</v>
      </c>
      <c r="K546" s="56"/>
      <c r="M546" s="36"/>
    </row>
    <row r="547" spans="1:13" ht="17.25" customHeight="1">
      <c r="A547" s="7"/>
      <c r="B547" s="7" t="s">
        <v>366</v>
      </c>
      <c r="C547" s="7" t="s">
        <v>150</v>
      </c>
      <c r="D547" s="25">
        <v>12870000</v>
      </c>
      <c r="E547" s="25">
        <v>19445502</v>
      </c>
      <c r="F547" s="25">
        <f>SUM(J547:J553)</f>
        <v>30982320</v>
      </c>
      <c r="G547" s="59">
        <f t="shared" si="20"/>
        <v>18112320</v>
      </c>
      <c r="H547" s="10" t="s">
        <v>358</v>
      </c>
      <c r="I547" s="11" t="s">
        <v>626</v>
      </c>
      <c r="J547" s="41">
        <f>120*6*1740*13</f>
        <v>16286400</v>
      </c>
      <c r="K547" s="59"/>
      <c r="M547" s="36"/>
    </row>
    <row r="548" spans="1:13" ht="17.25" customHeight="1">
      <c r="A548" s="7"/>
      <c r="B548" s="7"/>
      <c r="C548" s="7"/>
      <c r="D548" s="25"/>
      <c r="E548" s="25"/>
      <c r="F548" s="25"/>
      <c r="G548" s="59"/>
      <c r="H548" s="10" t="s">
        <v>359</v>
      </c>
      <c r="I548" s="11" t="s">
        <v>360</v>
      </c>
      <c r="J548" s="41">
        <f>80*10*13*1740</f>
        <v>18096000</v>
      </c>
      <c r="K548" s="59"/>
      <c r="M548" s="36"/>
    </row>
    <row r="549" spans="1:13" ht="17.25" customHeight="1">
      <c r="A549" s="7"/>
      <c r="B549" s="7"/>
      <c r="C549" s="7"/>
      <c r="D549" s="25"/>
      <c r="E549" s="25"/>
      <c r="F549" s="25"/>
      <c r="G549" s="59"/>
      <c r="H549" s="10" t="s">
        <v>361</v>
      </c>
      <c r="I549" s="11" t="s">
        <v>362</v>
      </c>
      <c r="J549" s="41">
        <f>-80*5*10*1740</f>
        <v>-6960000</v>
      </c>
      <c r="K549" s="59"/>
      <c r="M549" s="36"/>
    </row>
    <row r="550" spans="1:13" ht="17.25" customHeight="1">
      <c r="A550" s="7"/>
      <c r="B550" s="7"/>
      <c r="C550" s="7"/>
      <c r="D550" s="25"/>
      <c r="E550" s="25"/>
      <c r="F550" s="25"/>
      <c r="G550" s="59"/>
      <c r="H550" s="10" t="s">
        <v>290</v>
      </c>
      <c r="I550" s="11" t="s">
        <v>363</v>
      </c>
      <c r="J550" s="41">
        <f>34*2*1740</f>
        <v>118320</v>
      </c>
      <c r="K550" s="59"/>
      <c r="M550" s="36"/>
    </row>
    <row r="551" spans="1:13" ht="17.25" customHeight="1">
      <c r="A551" s="7"/>
      <c r="B551" s="7"/>
      <c r="C551" s="7"/>
      <c r="D551" s="25"/>
      <c r="E551" s="25"/>
      <c r="F551" s="25"/>
      <c r="G551" s="59"/>
      <c r="H551" s="10"/>
      <c r="I551" s="11" t="s">
        <v>365</v>
      </c>
      <c r="J551" s="41">
        <f>10*8*1740</f>
        <v>139200</v>
      </c>
      <c r="K551" s="59"/>
      <c r="M551" s="36"/>
    </row>
    <row r="552" spans="1:13" ht="17.25" customHeight="1">
      <c r="A552" s="7"/>
      <c r="B552" s="7"/>
      <c r="C552" s="7"/>
      <c r="D552" s="25"/>
      <c r="E552" s="25"/>
      <c r="F552" s="25"/>
      <c r="G552" s="59"/>
      <c r="H552" s="10"/>
      <c r="I552" s="11" t="s">
        <v>364</v>
      </c>
      <c r="J552" s="41">
        <f>20*8*1740</f>
        <v>278400</v>
      </c>
      <c r="K552" s="59"/>
      <c r="M552" s="36"/>
    </row>
    <row r="553" spans="1:13" ht="17.25" customHeight="1">
      <c r="A553" s="7"/>
      <c r="B553" s="7"/>
      <c r="C553" s="6"/>
      <c r="D553" s="37"/>
      <c r="E553" s="37"/>
      <c r="F553" s="37"/>
      <c r="G553" s="56"/>
      <c r="H553" s="8" t="s">
        <v>119</v>
      </c>
      <c r="I553" s="9" t="s">
        <v>627</v>
      </c>
      <c r="J553" s="40">
        <f>10*16*14*1350</f>
        <v>3024000</v>
      </c>
      <c r="K553" s="56"/>
      <c r="M553" s="36"/>
    </row>
    <row r="554" spans="1:13" ht="17.25" customHeight="1">
      <c r="A554" s="7"/>
      <c r="B554" s="7"/>
      <c r="C554" s="18" t="s">
        <v>145</v>
      </c>
      <c r="D554" s="53">
        <v>500000</v>
      </c>
      <c r="E554" s="53">
        <v>318160</v>
      </c>
      <c r="F554" s="53">
        <f>SUM(J554:J555)</f>
        <v>500000</v>
      </c>
      <c r="G554" s="53">
        <f>F554-D554</f>
        <v>0</v>
      </c>
      <c r="H554" s="15" t="s">
        <v>317</v>
      </c>
      <c r="I554" s="16"/>
      <c r="J554" s="43">
        <v>250000</v>
      </c>
      <c r="K554" s="53"/>
      <c r="M554" s="36"/>
    </row>
    <row r="555" spans="1:13" ht="17.25" customHeight="1">
      <c r="A555" s="7"/>
      <c r="B555" s="7"/>
      <c r="C555" s="6"/>
      <c r="D555" s="37"/>
      <c r="E555" s="37"/>
      <c r="F555" s="37"/>
      <c r="G555" s="56"/>
      <c r="H555" s="8" t="s">
        <v>295</v>
      </c>
      <c r="I555" s="9"/>
      <c r="J555" s="40">
        <v>250000</v>
      </c>
      <c r="K555" s="56"/>
      <c r="M555" s="36"/>
    </row>
    <row r="556" spans="1:13" ht="17.25" customHeight="1">
      <c r="A556" s="7"/>
      <c r="B556" s="6"/>
      <c r="C556" s="6" t="s">
        <v>85</v>
      </c>
      <c r="D556" s="37">
        <v>2000000</v>
      </c>
      <c r="E556" s="37">
        <v>2854126</v>
      </c>
      <c r="F556" s="37">
        <f>SUM(J556)</f>
        <v>2000000</v>
      </c>
      <c r="G556" s="37">
        <f>F556-D556</f>
        <v>0</v>
      </c>
      <c r="H556" s="8" t="s">
        <v>86</v>
      </c>
      <c r="I556" s="9"/>
      <c r="J556" s="40">
        <v>2000000</v>
      </c>
      <c r="K556" s="37"/>
      <c r="M556" s="36"/>
    </row>
    <row r="557" spans="1:13" ht="17.25" customHeight="1">
      <c r="A557" s="7"/>
      <c r="B557" s="7" t="s">
        <v>138</v>
      </c>
      <c r="C557" s="7"/>
      <c r="D557" s="37">
        <v>45343800</v>
      </c>
      <c r="E557" s="37">
        <f>SUM(E558:E563)</f>
        <v>0</v>
      </c>
      <c r="F557" s="37">
        <f>SUM(F558:F563)</f>
        <v>22628000</v>
      </c>
      <c r="G557" s="56">
        <f>F557-D557</f>
        <v>-22715800</v>
      </c>
      <c r="H557" s="10"/>
      <c r="I557" s="11"/>
      <c r="J557" s="41"/>
      <c r="K557" s="56"/>
      <c r="M557" s="36"/>
    </row>
    <row r="558" spans="1:13" ht="17.25" customHeight="1">
      <c r="A558" s="7"/>
      <c r="B558" s="7" t="s">
        <v>156</v>
      </c>
      <c r="C558" s="12" t="s">
        <v>148</v>
      </c>
      <c r="D558" s="35">
        <v>25253800</v>
      </c>
      <c r="E558" s="35">
        <v>0</v>
      </c>
      <c r="F558" s="35">
        <f>SUM(J558)</f>
        <v>4940000</v>
      </c>
      <c r="G558" s="58">
        <f>F558-D558</f>
        <v>-20313800</v>
      </c>
      <c r="H558" s="13" t="s">
        <v>142</v>
      </c>
      <c r="I558" s="17" t="s">
        <v>649</v>
      </c>
      <c r="J558" s="42">
        <f>380000*13</f>
        <v>4940000</v>
      </c>
      <c r="K558" s="58"/>
      <c r="M558" s="36"/>
    </row>
    <row r="559" spans="1:13" ht="17.25" customHeight="1">
      <c r="A559" s="7"/>
      <c r="B559" s="7" t="s">
        <v>619</v>
      </c>
      <c r="C559" s="18" t="s">
        <v>150</v>
      </c>
      <c r="D559" s="53">
        <v>18590000</v>
      </c>
      <c r="E559" s="53">
        <v>0</v>
      </c>
      <c r="F559" s="53">
        <f>SUM(J559:J560)</f>
        <v>16146000</v>
      </c>
      <c r="G559" s="57">
        <f>F559-D559</f>
        <v>-2444000</v>
      </c>
      <c r="H559" s="15" t="s">
        <v>144</v>
      </c>
      <c r="I559" s="16" t="s">
        <v>650</v>
      </c>
      <c r="J559" s="43">
        <f>60*13*13*1350</f>
        <v>13689000</v>
      </c>
      <c r="K559" s="57"/>
      <c r="M559" s="36"/>
    </row>
    <row r="560" spans="1:13" ht="17.25" customHeight="1">
      <c r="A560" s="7"/>
      <c r="B560" s="7"/>
      <c r="C560" s="6"/>
      <c r="D560" s="37"/>
      <c r="E560" s="37"/>
      <c r="F560" s="37"/>
      <c r="G560" s="56"/>
      <c r="H560" s="8" t="s">
        <v>119</v>
      </c>
      <c r="I560" s="9" t="s">
        <v>651</v>
      </c>
      <c r="J560" s="40">
        <f>10*13*14*1350</f>
        <v>2457000</v>
      </c>
      <c r="K560" s="56"/>
      <c r="M560" s="36"/>
    </row>
    <row r="561" spans="1:13" ht="17.25" customHeight="1">
      <c r="A561" s="7"/>
      <c r="B561" s="7"/>
      <c r="C561" s="18" t="s">
        <v>145</v>
      </c>
      <c r="D561" s="53">
        <v>500000</v>
      </c>
      <c r="E561" s="53">
        <v>0</v>
      </c>
      <c r="F561" s="53">
        <f>SUM(J561:J562)</f>
        <v>542000</v>
      </c>
      <c r="G561" s="57">
        <f>F561-D561</f>
        <v>42000</v>
      </c>
      <c r="H561" s="15" t="s">
        <v>652</v>
      </c>
      <c r="I561" s="16" t="s">
        <v>653</v>
      </c>
      <c r="J561" s="43">
        <f>10000*13</f>
        <v>130000</v>
      </c>
      <c r="K561" s="57"/>
      <c r="M561" s="36"/>
    </row>
    <row r="562" spans="1:13" ht="17.25" customHeight="1">
      <c r="A562" s="7"/>
      <c r="B562" s="7"/>
      <c r="C562" s="6"/>
      <c r="D562" s="37"/>
      <c r="E562" s="37"/>
      <c r="F562" s="37"/>
      <c r="G562" s="56"/>
      <c r="H562" s="8" t="s">
        <v>295</v>
      </c>
      <c r="I562" s="9"/>
      <c r="J562" s="40">
        <v>412000</v>
      </c>
      <c r="K562" s="56"/>
      <c r="M562" s="36"/>
    </row>
    <row r="563" spans="1:13" ht="17.25" customHeight="1">
      <c r="A563" s="7"/>
      <c r="B563" s="6"/>
      <c r="C563" s="12" t="s">
        <v>85</v>
      </c>
      <c r="D563" s="35">
        <v>1000000</v>
      </c>
      <c r="E563" s="35">
        <v>0</v>
      </c>
      <c r="F563" s="35">
        <f>SUM(J563)</f>
        <v>1000000</v>
      </c>
      <c r="G563" s="58">
        <f>F563-D563</f>
        <v>0</v>
      </c>
      <c r="H563" s="13" t="s">
        <v>86</v>
      </c>
      <c r="I563" s="14"/>
      <c r="J563" s="42">
        <v>1000000</v>
      </c>
      <c r="K563" s="58"/>
      <c r="M563" s="36"/>
    </row>
    <row r="564" spans="1:13" ht="17.25" customHeight="1">
      <c r="A564" s="7"/>
      <c r="B564" s="7" t="s">
        <v>264</v>
      </c>
      <c r="C564" s="7"/>
      <c r="D564" s="37">
        <v>49450000</v>
      </c>
      <c r="E564" s="35">
        <f>SUM(E565:E573)</f>
        <v>0</v>
      </c>
      <c r="F564" s="35">
        <f>SUM(F565:F573)</f>
        <v>82811400</v>
      </c>
      <c r="G564" s="58">
        <f>F564-D564</f>
        <v>33361400</v>
      </c>
      <c r="H564" s="10"/>
      <c r="I564" s="11"/>
      <c r="J564" s="41"/>
      <c r="K564" s="58"/>
      <c r="M564" s="36"/>
    </row>
    <row r="565" spans="1:13" ht="17.25" customHeight="1">
      <c r="A565" s="7"/>
      <c r="B565" s="7" t="s">
        <v>265</v>
      </c>
      <c r="C565" s="12" t="s">
        <v>148</v>
      </c>
      <c r="D565" s="35">
        <v>27000000</v>
      </c>
      <c r="E565" s="35">
        <v>0</v>
      </c>
      <c r="F565" s="35">
        <f>SUM(J565)</f>
        <v>40500000</v>
      </c>
      <c r="G565" s="58">
        <f>F565-D565</f>
        <v>13500000</v>
      </c>
      <c r="H565" s="13" t="s">
        <v>142</v>
      </c>
      <c r="I565" s="14" t="s">
        <v>374</v>
      </c>
      <c r="J565" s="42">
        <f>2700000*15</f>
        <v>40500000</v>
      </c>
      <c r="K565" s="58"/>
      <c r="M565" s="36"/>
    </row>
    <row r="566" spans="1:13" ht="17.25" customHeight="1">
      <c r="A566" s="7"/>
      <c r="B566" s="7" t="s">
        <v>373</v>
      </c>
      <c r="C566" s="7" t="s">
        <v>150</v>
      </c>
      <c r="D566" s="25">
        <v>21450000</v>
      </c>
      <c r="E566" s="25">
        <v>0</v>
      </c>
      <c r="F566" s="53">
        <f>SUM(J566:J570)</f>
        <v>37811400</v>
      </c>
      <c r="G566" s="59">
        <f>F566-D566</f>
        <v>16361400</v>
      </c>
      <c r="H566" s="10" t="s">
        <v>377</v>
      </c>
      <c r="I566" s="11" t="s">
        <v>375</v>
      </c>
      <c r="J566" s="41">
        <f>120*1*7*1740</f>
        <v>1461600</v>
      </c>
      <c r="K566" s="59"/>
      <c r="M566" s="36"/>
    </row>
    <row r="567" spans="1:13" ht="17.25" customHeight="1">
      <c r="A567" s="7"/>
      <c r="B567" s="7"/>
      <c r="C567" s="7"/>
      <c r="D567" s="25"/>
      <c r="E567" s="25"/>
      <c r="F567" s="25"/>
      <c r="G567" s="59"/>
      <c r="H567" s="10" t="s">
        <v>359</v>
      </c>
      <c r="I567" s="11" t="s">
        <v>376</v>
      </c>
      <c r="J567" s="41">
        <f>80*14*7*1740</f>
        <v>13641600</v>
      </c>
      <c r="K567" s="59"/>
      <c r="M567" s="36"/>
    </row>
    <row r="568" spans="1:13" ht="17.25" customHeight="1">
      <c r="A568" s="7"/>
      <c r="B568" s="7"/>
      <c r="C568" s="7"/>
      <c r="D568" s="25"/>
      <c r="E568" s="25"/>
      <c r="F568" s="25"/>
      <c r="G568" s="59"/>
      <c r="H568" s="10" t="s">
        <v>378</v>
      </c>
      <c r="I568" s="11" t="s">
        <v>380</v>
      </c>
      <c r="J568" s="41">
        <f>145*1*7*1740</f>
        <v>1766100</v>
      </c>
      <c r="K568" s="59"/>
      <c r="M568" s="36"/>
    </row>
    <row r="569" spans="1:13" ht="17.25" customHeight="1">
      <c r="A569" s="7"/>
      <c r="B569" s="7"/>
      <c r="C569" s="7"/>
      <c r="D569" s="25"/>
      <c r="E569" s="25"/>
      <c r="F569" s="25"/>
      <c r="G569" s="59"/>
      <c r="H569" s="10" t="s">
        <v>379</v>
      </c>
      <c r="I569" s="11" t="s">
        <v>381</v>
      </c>
      <c r="J569" s="41">
        <f>105*14*7*1740</f>
        <v>17904600</v>
      </c>
      <c r="K569" s="59"/>
      <c r="M569" s="36"/>
    </row>
    <row r="570" spans="1:13" ht="17.25" customHeight="1">
      <c r="A570" s="7"/>
      <c r="B570" s="7"/>
      <c r="C570" s="6"/>
      <c r="D570" s="37"/>
      <c r="E570" s="37"/>
      <c r="F570" s="37"/>
      <c r="G570" s="56"/>
      <c r="H570" s="8" t="s">
        <v>119</v>
      </c>
      <c r="I570" s="9" t="s">
        <v>382</v>
      </c>
      <c r="J570" s="40">
        <f>10*15*15*1350</f>
        <v>3037500</v>
      </c>
      <c r="K570" s="56"/>
      <c r="M570" s="36"/>
    </row>
    <row r="571" spans="1:13" ht="17.25" customHeight="1">
      <c r="A571" s="7"/>
      <c r="B571" s="7"/>
      <c r="C571" s="7" t="s">
        <v>383</v>
      </c>
      <c r="D571" s="25">
        <v>0</v>
      </c>
      <c r="E571" s="25">
        <v>0</v>
      </c>
      <c r="F571" s="25">
        <f>SUM(J571:J572)</f>
        <v>500000</v>
      </c>
      <c r="G571" s="59">
        <f>F571-D571</f>
        <v>500000</v>
      </c>
      <c r="H571" s="10" t="s">
        <v>317</v>
      </c>
      <c r="I571" s="11"/>
      <c r="J571" s="41">
        <v>250000</v>
      </c>
      <c r="K571" s="59"/>
      <c r="M571" s="36"/>
    </row>
    <row r="572" spans="1:13" ht="17.25" customHeight="1">
      <c r="A572" s="7"/>
      <c r="B572" s="7"/>
      <c r="C572" s="6"/>
      <c r="D572" s="37"/>
      <c r="E572" s="37"/>
      <c r="F572" s="37"/>
      <c r="G572" s="56"/>
      <c r="H572" s="8" t="s">
        <v>295</v>
      </c>
      <c r="I572" s="9"/>
      <c r="J572" s="40">
        <v>250000</v>
      </c>
      <c r="K572" s="56"/>
      <c r="M572" s="36"/>
    </row>
    <row r="573" spans="1:13" ht="17.25" customHeight="1">
      <c r="A573" s="6"/>
      <c r="B573" s="6"/>
      <c r="C573" s="6" t="s">
        <v>85</v>
      </c>
      <c r="D573" s="37">
        <v>1000000</v>
      </c>
      <c r="E573" s="37">
        <v>0</v>
      </c>
      <c r="F573" s="35">
        <f>SUM(J573)</f>
        <v>4000000</v>
      </c>
      <c r="G573" s="56">
        <f>F573-D573</f>
        <v>3000000</v>
      </c>
      <c r="H573" s="8" t="s">
        <v>249</v>
      </c>
      <c r="I573" s="9" t="s">
        <v>333</v>
      </c>
      <c r="J573" s="40">
        <f>2000000*2</f>
        <v>4000000</v>
      </c>
      <c r="K573" s="56"/>
      <c r="M573" s="36"/>
    </row>
    <row r="574" spans="1:13" ht="18.75" customHeight="1">
      <c r="A574" s="18" t="s">
        <v>139</v>
      </c>
      <c r="B574" s="7" t="s">
        <v>264</v>
      </c>
      <c r="C574" s="6"/>
      <c r="D574" s="37">
        <f>SUM(D575:D583)</f>
        <v>0</v>
      </c>
      <c r="E574" s="37">
        <f>SUM(E575:E583)</f>
        <v>13075539</v>
      </c>
      <c r="F574" s="37">
        <f>SUM(F575:F583)</f>
        <v>72205350</v>
      </c>
      <c r="G574" s="56">
        <f>SUM(G575:G583)</f>
        <v>72205350</v>
      </c>
      <c r="H574" s="8"/>
      <c r="I574" s="9"/>
      <c r="J574" s="40"/>
      <c r="K574" s="56"/>
      <c r="M574" s="36"/>
    </row>
    <row r="575" spans="1:13" ht="18.75" customHeight="1">
      <c r="A575" s="7"/>
      <c r="B575" s="7" t="s">
        <v>405</v>
      </c>
      <c r="C575" s="6" t="s">
        <v>148</v>
      </c>
      <c r="D575" s="37">
        <v>0</v>
      </c>
      <c r="E575" s="37">
        <v>10891500</v>
      </c>
      <c r="F575" s="37">
        <f>J575</f>
        <v>40500000</v>
      </c>
      <c r="G575" s="56">
        <f>F575-D575</f>
        <v>40500000</v>
      </c>
      <c r="H575" s="8" t="s">
        <v>142</v>
      </c>
      <c r="I575" s="9" t="s">
        <v>374</v>
      </c>
      <c r="J575" s="40">
        <f>2700000*15</f>
        <v>40500000</v>
      </c>
      <c r="K575" s="56"/>
      <c r="M575" s="36"/>
    </row>
    <row r="576" spans="1:13" ht="18.75" customHeight="1">
      <c r="A576" s="7"/>
      <c r="B576" s="7" t="s">
        <v>406</v>
      </c>
      <c r="C576" s="7" t="s">
        <v>150</v>
      </c>
      <c r="D576" s="25">
        <v>0</v>
      </c>
      <c r="E576" s="25">
        <v>1604960</v>
      </c>
      <c r="F576" s="25">
        <f>SUM(J576:J580)</f>
        <v>27205350</v>
      </c>
      <c r="G576" s="59">
        <f>F576-D576</f>
        <v>27205350</v>
      </c>
      <c r="H576" s="10" t="s">
        <v>407</v>
      </c>
      <c r="I576" s="11" t="s">
        <v>408</v>
      </c>
      <c r="J576" s="41">
        <f>100*1*7*1740</f>
        <v>1218000</v>
      </c>
      <c r="K576" s="59"/>
      <c r="M576" s="36"/>
    </row>
    <row r="577" spans="1:13" ht="18.75" customHeight="1">
      <c r="A577" s="7"/>
      <c r="B577" s="7"/>
      <c r="C577" s="7"/>
      <c r="D577" s="25"/>
      <c r="E577" s="25"/>
      <c r="F577" s="25"/>
      <c r="G577" s="59"/>
      <c r="H577" s="10" t="s">
        <v>359</v>
      </c>
      <c r="I577" s="11" t="s">
        <v>376</v>
      </c>
      <c r="J577" s="41">
        <f>80*14*7*1740</f>
        <v>13641600</v>
      </c>
      <c r="K577" s="59"/>
      <c r="M577" s="36"/>
    </row>
    <row r="578" spans="1:13" ht="18.75" customHeight="1">
      <c r="A578" s="7"/>
      <c r="B578" s="7"/>
      <c r="C578" s="7"/>
      <c r="D578" s="25"/>
      <c r="E578" s="25"/>
      <c r="F578" s="25"/>
      <c r="G578" s="59"/>
      <c r="H578" s="10" t="s">
        <v>409</v>
      </c>
      <c r="I578" s="11" t="s">
        <v>410</v>
      </c>
      <c r="J578" s="41">
        <f>75*1*7*1350</f>
        <v>708750</v>
      </c>
      <c r="K578" s="59"/>
      <c r="M578" s="36"/>
    </row>
    <row r="579" spans="1:13" ht="18.75" customHeight="1">
      <c r="A579" s="7"/>
      <c r="B579" s="7"/>
      <c r="C579" s="7"/>
      <c r="D579" s="25"/>
      <c r="E579" s="25"/>
      <c r="F579" s="25"/>
      <c r="G579" s="59"/>
      <c r="H579" s="10" t="s">
        <v>411</v>
      </c>
      <c r="I579" s="11" t="s">
        <v>412</v>
      </c>
      <c r="J579" s="41">
        <f>65*14*7*1350</f>
        <v>8599500</v>
      </c>
      <c r="K579" s="59"/>
      <c r="M579" s="36"/>
    </row>
    <row r="580" spans="1:13" ht="18.75" customHeight="1">
      <c r="A580" s="7"/>
      <c r="B580" s="7"/>
      <c r="C580" s="6"/>
      <c r="D580" s="37"/>
      <c r="E580" s="37"/>
      <c r="F580" s="37"/>
      <c r="G580" s="56"/>
      <c r="H580" s="8" t="s">
        <v>119</v>
      </c>
      <c r="I580" s="9" t="s">
        <v>382</v>
      </c>
      <c r="J580" s="40">
        <f>10*15*15*1350</f>
        <v>3037500</v>
      </c>
      <c r="K580" s="56"/>
      <c r="M580" s="36"/>
    </row>
    <row r="581" spans="1:13" ht="18.75" customHeight="1">
      <c r="A581" s="7"/>
      <c r="B581" s="7"/>
      <c r="C581" s="7" t="s">
        <v>145</v>
      </c>
      <c r="D581" s="25">
        <v>0</v>
      </c>
      <c r="E581" s="25">
        <v>0</v>
      </c>
      <c r="F581" s="25">
        <f>SUM(J581:J582)</f>
        <v>500000</v>
      </c>
      <c r="G581" s="59">
        <f>F581-D581</f>
        <v>500000</v>
      </c>
      <c r="H581" s="10" t="s">
        <v>317</v>
      </c>
      <c r="I581" s="11"/>
      <c r="J581" s="41">
        <v>250000</v>
      </c>
      <c r="K581" s="59"/>
      <c r="M581" s="36"/>
    </row>
    <row r="582" spans="1:13" ht="18.75" customHeight="1">
      <c r="A582" s="7"/>
      <c r="B582" s="7"/>
      <c r="C582" s="6"/>
      <c r="D582" s="37"/>
      <c r="E582" s="37"/>
      <c r="F582" s="37"/>
      <c r="G582" s="56"/>
      <c r="H582" s="8" t="s">
        <v>295</v>
      </c>
      <c r="I582" s="9"/>
      <c r="J582" s="40">
        <v>250000</v>
      </c>
      <c r="K582" s="56"/>
      <c r="M582" s="36"/>
    </row>
    <row r="583" spans="1:13" ht="18.75" customHeight="1">
      <c r="A583" s="7"/>
      <c r="B583" s="6"/>
      <c r="C583" s="6" t="s">
        <v>85</v>
      </c>
      <c r="D583" s="37">
        <v>0</v>
      </c>
      <c r="E583" s="37">
        <v>579079</v>
      </c>
      <c r="F583" s="37">
        <f>SUM(J583)</f>
        <v>4000000</v>
      </c>
      <c r="G583" s="56">
        <f>F583-D583</f>
        <v>4000000</v>
      </c>
      <c r="H583" s="8"/>
      <c r="I583" s="9"/>
      <c r="J583" s="40">
        <v>4000000</v>
      </c>
      <c r="K583" s="56"/>
      <c r="M583" s="36"/>
    </row>
    <row r="584" spans="1:13" ht="18.75" customHeight="1">
      <c r="A584" s="7"/>
      <c r="B584" s="7" t="s">
        <v>396</v>
      </c>
      <c r="C584" s="6"/>
      <c r="D584" s="37">
        <f>SUM(D585:D589)</f>
        <v>0</v>
      </c>
      <c r="E584" s="37">
        <f>SUM(E585:E589)</f>
        <v>0</v>
      </c>
      <c r="F584" s="37">
        <f>SUM(F585:F589)</f>
        <v>7123000</v>
      </c>
      <c r="G584" s="56">
        <f>SUM(G585:G589)</f>
        <v>7123000</v>
      </c>
      <c r="H584" s="8"/>
      <c r="I584" s="9"/>
      <c r="J584" s="40"/>
      <c r="K584" s="56"/>
      <c r="M584" s="36"/>
    </row>
    <row r="585" spans="1:13" ht="18.75" customHeight="1">
      <c r="A585" s="7"/>
      <c r="B585" s="7" t="s">
        <v>398</v>
      </c>
      <c r="C585" s="6" t="s">
        <v>148</v>
      </c>
      <c r="D585" s="37">
        <v>0</v>
      </c>
      <c r="E585" s="37">
        <v>0</v>
      </c>
      <c r="F585" s="35">
        <f>SUM(J585)</f>
        <v>4658000</v>
      </c>
      <c r="G585" s="56">
        <f>F585-D585</f>
        <v>4658000</v>
      </c>
      <c r="H585" s="8" t="s">
        <v>142</v>
      </c>
      <c r="I585" s="9" t="s">
        <v>399</v>
      </c>
      <c r="J585" s="40">
        <f>582250*8</f>
        <v>4658000</v>
      </c>
      <c r="K585" s="56"/>
      <c r="M585" s="36"/>
    </row>
    <row r="586" spans="1:13" ht="18.75" customHeight="1">
      <c r="A586" s="7"/>
      <c r="B586" s="7" t="s">
        <v>397</v>
      </c>
      <c r="C586" s="7" t="s">
        <v>150</v>
      </c>
      <c r="D586" s="25">
        <v>0</v>
      </c>
      <c r="E586" s="25">
        <v>0</v>
      </c>
      <c r="F586" s="53">
        <f>SUM(J586:J587)</f>
        <v>1215000</v>
      </c>
      <c r="G586" s="59">
        <f>F586-D586</f>
        <v>1215000</v>
      </c>
      <c r="H586" s="10" t="s">
        <v>400</v>
      </c>
      <c r="I586" s="11" t="s">
        <v>401</v>
      </c>
      <c r="J586" s="41">
        <f>125*1*4*1350</f>
        <v>675000</v>
      </c>
      <c r="K586" s="59"/>
      <c r="M586" s="36"/>
    </row>
    <row r="587" spans="1:13" ht="18.75" customHeight="1">
      <c r="A587" s="7"/>
      <c r="B587" s="7"/>
      <c r="C587" s="6"/>
      <c r="D587" s="37"/>
      <c r="E587" s="37"/>
      <c r="F587" s="37"/>
      <c r="G587" s="56"/>
      <c r="H587" s="8" t="s">
        <v>119</v>
      </c>
      <c r="I587" s="9" t="s">
        <v>402</v>
      </c>
      <c r="J587" s="40">
        <f>10*8*5*1350</f>
        <v>540000</v>
      </c>
      <c r="K587" s="56"/>
      <c r="M587" s="36"/>
    </row>
    <row r="588" spans="1:13" ht="18.75" customHeight="1">
      <c r="A588" s="7"/>
      <c r="B588" s="7"/>
      <c r="C588" s="6" t="s">
        <v>145</v>
      </c>
      <c r="D588" s="37">
        <v>0</v>
      </c>
      <c r="E588" s="37">
        <v>0</v>
      </c>
      <c r="F588" s="35">
        <f>SUM(J588)</f>
        <v>250000</v>
      </c>
      <c r="G588" s="56">
        <f>F588-D588</f>
        <v>250000</v>
      </c>
      <c r="H588" s="8" t="s">
        <v>295</v>
      </c>
      <c r="I588" s="9"/>
      <c r="J588" s="40">
        <v>250000</v>
      </c>
      <c r="K588" s="56"/>
      <c r="M588" s="36"/>
    </row>
    <row r="589" spans="1:13" ht="18.75" customHeight="1">
      <c r="A589" s="7"/>
      <c r="B589" s="6"/>
      <c r="C589" s="6" t="s">
        <v>85</v>
      </c>
      <c r="D589" s="37">
        <v>0</v>
      </c>
      <c r="E589" s="37">
        <v>0</v>
      </c>
      <c r="F589" s="35">
        <f>J589</f>
        <v>1000000</v>
      </c>
      <c r="G589" s="56">
        <f>F589-D589</f>
        <v>1000000</v>
      </c>
      <c r="H589" s="8" t="s">
        <v>86</v>
      </c>
      <c r="I589" s="9"/>
      <c r="J589" s="40">
        <v>1000000</v>
      </c>
      <c r="K589" s="56"/>
      <c r="M589" s="36"/>
    </row>
    <row r="590" spans="1:13" ht="18.75" customHeight="1">
      <c r="A590" s="7"/>
      <c r="B590" s="7" t="s">
        <v>600</v>
      </c>
      <c r="C590" s="6"/>
      <c r="D590" s="37">
        <f>SUM(D591:D600)</f>
        <v>0</v>
      </c>
      <c r="E590" s="37">
        <f>SUM(E591:E600)</f>
        <v>0</v>
      </c>
      <c r="F590" s="37">
        <f>SUM(F591:F600)</f>
        <v>30015200</v>
      </c>
      <c r="G590" s="37">
        <f>SUM(G591:G600)</f>
        <v>30015200</v>
      </c>
      <c r="H590" s="8"/>
      <c r="I590" s="9"/>
      <c r="J590" s="40"/>
      <c r="K590" s="37"/>
      <c r="M590" s="36"/>
    </row>
    <row r="591" spans="1:13" ht="18.75" customHeight="1">
      <c r="A591" s="7"/>
      <c r="B591" s="7" t="s">
        <v>601</v>
      </c>
      <c r="C591" s="7" t="s">
        <v>148</v>
      </c>
      <c r="D591" s="25">
        <v>0</v>
      </c>
      <c r="E591" s="25">
        <v>0</v>
      </c>
      <c r="F591" s="53">
        <f>SUM(J591:J592)</f>
        <v>6921700</v>
      </c>
      <c r="G591" s="59">
        <f>F591-D591</f>
        <v>6921700</v>
      </c>
      <c r="H591" s="10" t="s">
        <v>602</v>
      </c>
      <c r="I591" s="11" t="s">
        <v>603</v>
      </c>
      <c r="J591" s="41">
        <v>1212900</v>
      </c>
      <c r="K591" s="59"/>
      <c r="M591" s="36"/>
    </row>
    <row r="592" spans="1:13" ht="18.75" customHeight="1">
      <c r="A592" s="7"/>
      <c r="B592" s="7" t="s">
        <v>619</v>
      </c>
      <c r="C592" s="6"/>
      <c r="D592" s="37"/>
      <c r="E592" s="37"/>
      <c r="F592" s="37"/>
      <c r="G592" s="56"/>
      <c r="H592" s="8"/>
      <c r="I592" s="9" t="s">
        <v>604</v>
      </c>
      <c r="J592" s="40">
        <v>5708800</v>
      </c>
      <c r="K592" s="56"/>
      <c r="M592" s="36"/>
    </row>
    <row r="593" spans="1:13" ht="18.75" customHeight="1">
      <c r="A593" s="7"/>
      <c r="B593" s="7"/>
      <c r="C593" s="7" t="s">
        <v>150</v>
      </c>
      <c r="D593" s="25">
        <v>0</v>
      </c>
      <c r="E593" s="25">
        <v>0</v>
      </c>
      <c r="F593" s="53">
        <f>SUM(J593:J595)</f>
        <v>17146000</v>
      </c>
      <c r="G593" s="59">
        <f>F593-D593</f>
        <v>17146000</v>
      </c>
      <c r="H593" s="10" t="s">
        <v>605</v>
      </c>
      <c r="I593" s="11" t="s">
        <v>606</v>
      </c>
      <c r="J593" s="41">
        <v>13585000</v>
      </c>
      <c r="K593" s="59"/>
      <c r="M593" s="36"/>
    </row>
    <row r="594" spans="1:13" ht="18.75" customHeight="1">
      <c r="A594" s="7"/>
      <c r="B594" s="7"/>
      <c r="C594" s="7"/>
      <c r="D594" s="25"/>
      <c r="E594" s="25"/>
      <c r="F594" s="25"/>
      <c r="G594" s="59"/>
      <c r="H594" s="10" t="s">
        <v>607</v>
      </c>
      <c r="I594" s="11" t="s">
        <v>608</v>
      </c>
      <c r="J594" s="41">
        <v>844000</v>
      </c>
      <c r="K594" s="59"/>
      <c r="M594" s="36"/>
    </row>
    <row r="595" spans="1:13" ht="18.75" customHeight="1">
      <c r="A595" s="7"/>
      <c r="B595" s="7"/>
      <c r="C595" s="6"/>
      <c r="D595" s="37"/>
      <c r="E595" s="37"/>
      <c r="F595" s="37"/>
      <c r="G595" s="56"/>
      <c r="H595" s="8" t="s">
        <v>609</v>
      </c>
      <c r="I595" s="9" t="s">
        <v>610</v>
      </c>
      <c r="J595" s="40">
        <v>2717000</v>
      </c>
      <c r="K595" s="56"/>
      <c r="M595" s="36"/>
    </row>
    <row r="596" spans="1:13" ht="18.75" customHeight="1">
      <c r="A596" s="7"/>
      <c r="B596" s="7"/>
      <c r="C596" s="6" t="s">
        <v>123</v>
      </c>
      <c r="D596" s="37">
        <v>0</v>
      </c>
      <c r="E596" s="37">
        <v>0</v>
      </c>
      <c r="F596" s="35">
        <f>SUM(J596)</f>
        <v>3000000</v>
      </c>
      <c r="G596" s="56">
        <f>F596-D596</f>
        <v>3000000</v>
      </c>
      <c r="H596" s="8" t="s">
        <v>611</v>
      </c>
      <c r="I596" s="9" t="s">
        <v>612</v>
      </c>
      <c r="J596" s="40">
        <v>3000000</v>
      </c>
      <c r="K596" s="56"/>
      <c r="M596" s="36"/>
    </row>
    <row r="597" spans="1:13" ht="18.75" customHeight="1">
      <c r="A597" s="7"/>
      <c r="B597" s="7"/>
      <c r="C597" s="6" t="s">
        <v>145</v>
      </c>
      <c r="D597" s="37">
        <v>0</v>
      </c>
      <c r="E597" s="37">
        <v>0</v>
      </c>
      <c r="F597" s="35">
        <f>SUM(J597)</f>
        <v>399000</v>
      </c>
      <c r="G597" s="56">
        <f>F597-D597</f>
        <v>399000</v>
      </c>
      <c r="H597" s="8" t="s">
        <v>613</v>
      </c>
      <c r="I597" s="9" t="s">
        <v>614</v>
      </c>
      <c r="J597" s="40">
        <v>399000</v>
      </c>
      <c r="K597" s="56"/>
      <c r="M597" s="36"/>
    </row>
    <row r="598" spans="1:13" ht="18.75" customHeight="1">
      <c r="A598" s="7"/>
      <c r="B598" s="7"/>
      <c r="C598" s="7" t="s">
        <v>121</v>
      </c>
      <c r="D598" s="25">
        <v>0</v>
      </c>
      <c r="E598" s="25">
        <v>0</v>
      </c>
      <c r="F598" s="53">
        <f>SUM(J598:J599)</f>
        <v>1548500</v>
      </c>
      <c r="G598" s="59">
        <f>F598-D598</f>
        <v>1548500</v>
      </c>
      <c r="H598" s="10" t="s">
        <v>615</v>
      </c>
      <c r="I598" s="11" t="s">
        <v>616</v>
      </c>
      <c r="J598" s="41">
        <v>1235000</v>
      </c>
      <c r="K598" s="59"/>
      <c r="M598" s="36"/>
    </row>
    <row r="599" spans="1:13" ht="18.75" customHeight="1">
      <c r="A599" s="7"/>
      <c r="B599" s="7"/>
      <c r="C599" s="6"/>
      <c r="D599" s="37"/>
      <c r="E599" s="37"/>
      <c r="F599" s="37"/>
      <c r="G599" s="56"/>
      <c r="H599" s="8" t="s">
        <v>617</v>
      </c>
      <c r="I599" s="9" t="s">
        <v>618</v>
      </c>
      <c r="J599" s="40">
        <v>313500</v>
      </c>
      <c r="K599" s="56"/>
      <c r="M599" s="36"/>
    </row>
    <row r="600" spans="1:13" ht="18.75" customHeight="1">
      <c r="A600" s="6"/>
      <c r="B600" s="6"/>
      <c r="C600" s="6" t="s">
        <v>85</v>
      </c>
      <c r="D600" s="37">
        <v>0</v>
      </c>
      <c r="E600" s="37">
        <v>0</v>
      </c>
      <c r="F600" s="35">
        <f>SUM(J600)</f>
        <v>1000000</v>
      </c>
      <c r="G600" s="56">
        <f>F600-D600</f>
        <v>1000000</v>
      </c>
      <c r="H600" s="8" t="s">
        <v>86</v>
      </c>
      <c r="I600" s="9"/>
      <c r="J600" s="40">
        <v>1000000</v>
      </c>
      <c r="K600" s="56"/>
      <c r="M600" s="36"/>
    </row>
    <row r="601" spans="1:13" ht="20.25" customHeight="1">
      <c r="A601" s="18" t="s">
        <v>139</v>
      </c>
      <c r="B601" s="18" t="s">
        <v>151</v>
      </c>
      <c r="C601" s="12"/>
      <c r="D601" s="35">
        <v>13430000</v>
      </c>
      <c r="E601" s="35">
        <f>SUM(E602:E606)</f>
        <v>9497960</v>
      </c>
      <c r="F601" s="35">
        <f>SUM(F602:F606)</f>
        <v>10183000</v>
      </c>
      <c r="G601" s="58">
        <f>F601-D601</f>
        <v>-3247000</v>
      </c>
      <c r="H601" s="13"/>
      <c r="I601" s="14"/>
      <c r="J601" s="42"/>
      <c r="K601" s="58"/>
      <c r="M601" s="36"/>
    </row>
    <row r="602" spans="1:13" ht="20.25" customHeight="1">
      <c r="A602" s="7"/>
      <c r="B602" s="7" t="s">
        <v>152</v>
      </c>
      <c r="C602" s="6" t="s">
        <v>148</v>
      </c>
      <c r="D602" s="37">
        <v>5980000</v>
      </c>
      <c r="E602" s="37">
        <v>5845500</v>
      </c>
      <c r="F602" s="37">
        <f>SUM(J602)</f>
        <v>5200000</v>
      </c>
      <c r="G602" s="56">
        <f>F602-D602</f>
        <v>-780000</v>
      </c>
      <c r="H602" s="8" t="s">
        <v>142</v>
      </c>
      <c r="I602" s="9" t="s">
        <v>597</v>
      </c>
      <c r="J602" s="40">
        <f>400000*13</f>
        <v>5200000</v>
      </c>
      <c r="K602" s="56"/>
      <c r="M602" s="36"/>
    </row>
    <row r="603" spans="1:13" ht="20.25" customHeight="1">
      <c r="A603" s="7"/>
      <c r="B603" s="7" t="s">
        <v>197</v>
      </c>
      <c r="C603" s="7" t="s">
        <v>150</v>
      </c>
      <c r="D603" s="25">
        <v>2450000</v>
      </c>
      <c r="E603" s="25">
        <v>2655130</v>
      </c>
      <c r="F603" s="25">
        <f>SUM(J603:J604)</f>
        <v>3483000</v>
      </c>
      <c r="G603" s="59">
        <f>F603-D603</f>
        <v>1033000</v>
      </c>
      <c r="H603" s="10" t="s">
        <v>144</v>
      </c>
      <c r="I603" s="11" t="s">
        <v>598</v>
      </c>
      <c r="J603" s="41">
        <f>120*3*5*1350</f>
        <v>2430000</v>
      </c>
      <c r="K603" s="59"/>
      <c r="M603" s="36"/>
    </row>
    <row r="604" spans="1:13" ht="20.25" customHeight="1">
      <c r="A604" s="7"/>
      <c r="B604" s="7"/>
      <c r="C604" s="6"/>
      <c r="D604" s="37"/>
      <c r="E604" s="37"/>
      <c r="F604" s="37"/>
      <c r="G604" s="56"/>
      <c r="H604" s="8" t="s">
        <v>119</v>
      </c>
      <c r="I604" s="9" t="s">
        <v>599</v>
      </c>
      <c r="J604" s="40">
        <f>10*13*6*1350</f>
        <v>1053000</v>
      </c>
      <c r="K604" s="56"/>
      <c r="M604" s="36"/>
    </row>
    <row r="605" spans="1:13" ht="20.25" customHeight="1">
      <c r="A605" s="7"/>
      <c r="B605" s="7"/>
      <c r="C605" s="6" t="s">
        <v>145</v>
      </c>
      <c r="D605" s="37">
        <v>0</v>
      </c>
      <c r="E605" s="37">
        <v>0</v>
      </c>
      <c r="F605" s="35">
        <f>SUM(J605)</f>
        <v>500000</v>
      </c>
      <c r="G605" s="56">
        <f>F605-D605</f>
        <v>500000</v>
      </c>
      <c r="H605" s="8" t="s">
        <v>295</v>
      </c>
      <c r="I605" s="9"/>
      <c r="J605" s="40">
        <v>500000</v>
      </c>
      <c r="K605" s="56"/>
      <c r="M605" s="36"/>
    </row>
    <row r="606" spans="1:13" ht="20.25" customHeight="1">
      <c r="A606" s="7"/>
      <c r="B606" s="6"/>
      <c r="C606" s="6" t="s">
        <v>85</v>
      </c>
      <c r="D606" s="37">
        <v>5000000</v>
      </c>
      <c r="E606" s="37">
        <v>997330</v>
      </c>
      <c r="F606" s="37">
        <f>SUM(J606)</f>
        <v>1000000</v>
      </c>
      <c r="G606" s="56">
        <f>F606-D606</f>
        <v>-4000000</v>
      </c>
      <c r="H606" s="8" t="s">
        <v>86</v>
      </c>
      <c r="I606" s="9"/>
      <c r="J606" s="40">
        <v>1000000</v>
      </c>
      <c r="K606" s="56"/>
      <c r="M606" s="36"/>
    </row>
    <row r="607" spans="1:13" ht="20.25" customHeight="1">
      <c r="A607" s="7"/>
      <c r="B607" s="7" t="s">
        <v>157</v>
      </c>
      <c r="C607" s="7"/>
      <c r="D607" s="35">
        <v>1340000</v>
      </c>
      <c r="E607" s="35">
        <f>SUM(E608:E609)</f>
        <v>1254620</v>
      </c>
      <c r="F607" s="35">
        <f>SUM(F608:F609)</f>
        <v>0</v>
      </c>
      <c r="G607" s="58">
        <f>F607-D607</f>
        <v>-1340000</v>
      </c>
      <c r="H607" s="10"/>
      <c r="I607" s="11"/>
      <c r="J607" s="41"/>
      <c r="K607" s="58"/>
      <c r="M607" s="36"/>
    </row>
    <row r="608" spans="1:13" ht="20.25" customHeight="1">
      <c r="A608" s="7"/>
      <c r="B608" s="7" t="s">
        <v>158</v>
      </c>
      <c r="C608" s="12" t="s">
        <v>150</v>
      </c>
      <c r="D608" s="35">
        <v>840000</v>
      </c>
      <c r="E608" s="35">
        <v>759430</v>
      </c>
      <c r="F608" s="35">
        <f>SUM(J608)</f>
        <v>0</v>
      </c>
      <c r="G608" s="58">
        <f>F608-D608</f>
        <v>-840000</v>
      </c>
      <c r="H608" s="13"/>
      <c r="I608" s="14"/>
      <c r="J608" s="42"/>
      <c r="K608" s="58"/>
      <c r="M608" s="36"/>
    </row>
    <row r="609" spans="1:13" ht="20.25" customHeight="1">
      <c r="A609" s="7"/>
      <c r="B609" s="6"/>
      <c r="C609" s="12" t="s">
        <v>85</v>
      </c>
      <c r="D609" s="35">
        <v>500000</v>
      </c>
      <c r="E609" s="35">
        <v>495190</v>
      </c>
      <c r="F609" s="35">
        <f>SUM(J609)</f>
        <v>0</v>
      </c>
      <c r="G609" s="58">
        <f>F609-D609</f>
        <v>-500000</v>
      </c>
      <c r="H609" s="13"/>
      <c r="I609" s="14"/>
      <c r="J609" s="42"/>
      <c r="K609" s="58"/>
      <c r="M609" s="36"/>
    </row>
    <row r="610" spans="1:13" ht="20.25" customHeight="1">
      <c r="A610" s="7"/>
      <c r="B610" s="7" t="s">
        <v>353</v>
      </c>
      <c r="C610" s="38"/>
      <c r="D610" s="66">
        <v>10150000</v>
      </c>
      <c r="E610" s="66">
        <f>SUM(E611:E614)</f>
        <v>11742084</v>
      </c>
      <c r="F610" s="66">
        <f>SUM(F611:F614)</f>
        <v>0</v>
      </c>
      <c r="G610" s="56">
        <f>SUM(G611:G614)</f>
        <v>-10150000</v>
      </c>
      <c r="H610" s="29"/>
      <c r="I610" s="21"/>
      <c r="J610" s="49"/>
      <c r="K610" s="56"/>
      <c r="M610" s="36"/>
    </row>
    <row r="611" spans="1:13" ht="20.25" customHeight="1">
      <c r="A611" s="7"/>
      <c r="B611" s="7" t="s">
        <v>259</v>
      </c>
      <c r="C611" s="12" t="s">
        <v>148</v>
      </c>
      <c r="D611" s="37">
        <v>3600000</v>
      </c>
      <c r="E611" s="37">
        <v>3403500</v>
      </c>
      <c r="F611" s="71">
        <f>SUM(J611)</f>
        <v>0</v>
      </c>
      <c r="G611" s="58">
        <f t="shared" ref="G611:G625" si="21">F611-D611</f>
        <v>-3600000</v>
      </c>
      <c r="H611" s="85" t="s">
        <v>254</v>
      </c>
      <c r="I611" s="19" t="s">
        <v>260</v>
      </c>
      <c r="J611" s="84"/>
      <c r="K611" s="58"/>
      <c r="M611" s="36"/>
    </row>
    <row r="612" spans="1:13" ht="20.25" customHeight="1">
      <c r="A612" s="7"/>
      <c r="B612" s="7"/>
      <c r="C612" s="12" t="s">
        <v>150</v>
      </c>
      <c r="D612" s="35">
        <v>5400000</v>
      </c>
      <c r="E612" s="35">
        <v>7497746</v>
      </c>
      <c r="F612" s="71">
        <f>SUM(J612:J612)</f>
        <v>0</v>
      </c>
      <c r="G612" s="58">
        <f t="shared" si="21"/>
        <v>-5400000</v>
      </c>
      <c r="H612" s="85" t="s">
        <v>257</v>
      </c>
      <c r="I612" s="19" t="s">
        <v>262</v>
      </c>
      <c r="J612" s="84"/>
      <c r="K612" s="58"/>
      <c r="M612" s="36"/>
    </row>
    <row r="613" spans="1:13" ht="20.25" customHeight="1">
      <c r="A613" s="7"/>
      <c r="B613" s="7"/>
      <c r="C613" s="6" t="s">
        <v>145</v>
      </c>
      <c r="D613" s="37">
        <v>150000</v>
      </c>
      <c r="E613" s="37">
        <v>0</v>
      </c>
      <c r="F613" s="66">
        <f>SUM(J613)</f>
        <v>0</v>
      </c>
      <c r="G613" s="56">
        <f t="shared" si="21"/>
        <v>-150000</v>
      </c>
      <c r="H613" s="29"/>
      <c r="I613" s="21"/>
      <c r="J613" s="49"/>
      <c r="K613" s="56"/>
      <c r="M613" s="36"/>
    </row>
    <row r="614" spans="1:13" ht="20.25" customHeight="1">
      <c r="A614" s="7"/>
      <c r="B614" s="6"/>
      <c r="C614" s="12" t="s">
        <v>85</v>
      </c>
      <c r="D614" s="35">
        <v>1000000</v>
      </c>
      <c r="E614" s="35">
        <v>840838</v>
      </c>
      <c r="F614" s="71">
        <f>SUM(J614)</f>
        <v>0</v>
      </c>
      <c r="G614" s="58">
        <f t="shared" si="21"/>
        <v>-1000000</v>
      </c>
      <c r="H614" s="85"/>
      <c r="I614" s="19"/>
      <c r="J614" s="84"/>
      <c r="K614" s="58"/>
      <c r="M614" s="36"/>
    </row>
    <row r="615" spans="1:13" ht="20.25" customHeight="1">
      <c r="A615" s="7"/>
      <c r="B615" s="7" t="s">
        <v>350</v>
      </c>
      <c r="C615" s="38"/>
      <c r="D615" s="66">
        <v>22000000</v>
      </c>
      <c r="E615" s="66">
        <f>SUM(E616:E625)</f>
        <v>78424125</v>
      </c>
      <c r="F615" s="66">
        <f>SUM(F616:F625)</f>
        <v>0</v>
      </c>
      <c r="G615" s="56">
        <f t="shared" si="21"/>
        <v>-22000000</v>
      </c>
      <c r="H615" s="29"/>
      <c r="I615" s="21"/>
      <c r="J615" s="49"/>
      <c r="K615" s="56"/>
      <c r="M615" s="36"/>
    </row>
    <row r="616" spans="1:13" ht="20.25" customHeight="1">
      <c r="A616" s="7"/>
      <c r="B616" s="7" t="s">
        <v>252</v>
      </c>
      <c r="C616" s="12" t="s">
        <v>253</v>
      </c>
      <c r="D616" s="71">
        <v>6000000</v>
      </c>
      <c r="E616" s="71">
        <v>16281700</v>
      </c>
      <c r="F616" s="71">
        <v>0</v>
      </c>
      <c r="G616" s="58">
        <f t="shared" si="21"/>
        <v>-6000000</v>
      </c>
      <c r="H616" s="85" t="s">
        <v>254</v>
      </c>
      <c r="I616" s="19" t="s">
        <v>255</v>
      </c>
      <c r="J616" s="84"/>
      <c r="K616" s="58"/>
      <c r="M616" s="36"/>
    </row>
    <row r="617" spans="1:13" ht="20.25" customHeight="1">
      <c r="A617" s="7"/>
      <c r="B617" s="7"/>
      <c r="C617" s="38" t="s">
        <v>256</v>
      </c>
      <c r="D617" s="66">
        <v>6000000</v>
      </c>
      <c r="E617" s="66">
        <v>23676262</v>
      </c>
      <c r="F617" s="71">
        <v>0</v>
      </c>
      <c r="G617" s="58">
        <f t="shared" si="21"/>
        <v>-6000000</v>
      </c>
      <c r="H617" s="29" t="s">
        <v>257</v>
      </c>
      <c r="I617" s="21" t="s">
        <v>258</v>
      </c>
      <c r="J617" s="49"/>
      <c r="K617" s="58"/>
      <c r="M617" s="36"/>
    </row>
    <row r="618" spans="1:13" ht="20.25" customHeight="1">
      <c r="A618" s="7"/>
      <c r="B618" s="7"/>
      <c r="C618" s="38" t="s">
        <v>795</v>
      </c>
      <c r="D618" s="66">
        <v>0</v>
      </c>
      <c r="E618" s="66">
        <v>13371900</v>
      </c>
      <c r="F618" s="71">
        <v>0</v>
      </c>
      <c r="G618" s="35">
        <f t="shared" si="21"/>
        <v>0</v>
      </c>
      <c r="H618" s="29"/>
      <c r="I618" s="21"/>
      <c r="J618" s="49"/>
      <c r="K618" s="58"/>
      <c r="M618" s="36"/>
    </row>
    <row r="619" spans="1:13" ht="20.25" customHeight="1">
      <c r="A619" s="7"/>
      <c r="B619" s="7"/>
      <c r="C619" s="38" t="s">
        <v>248</v>
      </c>
      <c r="D619" s="66">
        <v>5000000</v>
      </c>
      <c r="E619" s="66">
        <v>2425220</v>
      </c>
      <c r="F619" s="71">
        <v>0</v>
      </c>
      <c r="G619" s="58">
        <f t="shared" si="21"/>
        <v>-5000000</v>
      </c>
      <c r="H619" s="29" t="s">
        <v>247</v>
      </c>
      <c r="I619" s="21"/>
      <c r="J619" s="49"/>
      <c r="K619" s="58"/>
      <c r="M619" s="36"/>
    </row>
    <row r="620" spans="1:13" ht="20.25" customHeight="1">
      <c r="A620" s="7"/>
      <c r="B620" s="7"/>
      <c r="C620" s="38" t="s">
        <v>145</v>
      </c>
      <c r="D620" s="66">
        <v>0</v>
      </c>
      <c r="E620" s="66">
        <v>1355000</v>
      </c>
      <c r="F620" s="71">
        <v>0</v>
      </c>
      <c r="G620" s="35">
        <f t="shared" si="21"/>
        <v>0</v>
      </c>
      <c r="H620" s="29"/>
      <c r="I620" s="21"/>
      <c r="J620" s="49"/>
      <c r="K620" s="58"/>
      <c r="M620" s="36"/>
    </row>
    <row r="621" spans="1:13" ht="20.25" customHeight="1">
      <c r="A621" s="7"/>
      <c r="B621" s="7"/>
      <c r="C621" s="38" t="s">
        <v>796</v>
      </c>
      <c r="D621" s="66">
        <v>0</v>
      </c>
      <c r="E621" s="66">
        <v>286320</v>
      </c>
      <c r="F621" s="71">
        <v>0</v>
      </c>
      <c r="G621" s="35">
        <f t="shared" si="21"/>
        <v>0</v>
      </c>
      <c r="H621" s="29"/>
      <c r="I621" s="21"/>
      <c r="J621" s="49"/>
      <c r="K621" s="58"/>
      <c r="M621" s="36"/>
    </row>
    <row r="622" spans="1:13" ht="20.25" customHeight="1">
      <c r="A622" s="7"/>
      <c r="B622" s="7"/>
      <c r="C622" s="38" t="s">
        <v>797</v>
      </c>
      <c r="D622" s="66">
        <v>0</v>
      </c>
      <c r="E622" s="66">
        <v>3229040</v>
      </c>
      <c r="F622" s="71">
        <v>0</v>
      </c>
      <c r="G622" s="35">
        <f t="shared" si="21"/>
        <v>0</v>
      </c>
      <c r="H622" s="29"/>
      <c r="I622" s="21"/>
      <c r="J622" s="49"/>
      <c r="K622" s="58"/>
      <c r="M622" s="36"/>
    </row>
    <row r="623" spans="1:13" ht="20.25" customHeight="1">
      <c r="A623" s="7"/>
      <c r="B623" s="7"/>
      <c r="C623" s="38" t="s">
        <v>798</v>
      </c>
      <c r="D623" s="66">
        <v>0</v>
      </c>
      <c r="E623" s="66">
        <v>8899200</v>
      </c>
      <c r="F623" s="71">
        <v>0</v>
      </c>
      <c r="G623" s="35">
        <f t="shared" si="21"/>
        <v>0</v>
      </c>
      <c r="H623" s="29"/>
      <c r="I623" s="21"/>
      <c r="J623" s="49"/>
      <c r="K623" s="58"/>
      <c r="M623" s="36"/>
    </row>
    <row r="624" spans="1:13" ht="20.25" customHeight="1">
      <c r="A624" s="7"/>
      <c r="B624" s="7"/>
      <c r="C624" s="38" t="s">
        <v>799</v>
      </c>
      <c r="D624" s="66">
        <v>0</v>
      </c>
      <c r="E624" s="66">
        <v>288000</v>
      </c>
      <c r="F624" s="71">
        <v>0</v>
      </c>
      <c r="G624" s="35">
        <f t="shared" si="21"/>
        <v>0</v>
      </c>
      <c r="H624" s="29"/>
      <c r="I624" s="21"/>
      <c r="J624" s="49"/>
      <c r="K624" s="58"/>
      <c r="M624" s="36"/>
    </row>
    <row r="625" spans="1:13" ht="20.25" customHeight="1">
      <c r="A625" s="6"/>
      <c r="B625" s="6"/>
      <c r="C625" s="38" t="s">
        <v>190</v>
      </c>
      <c r="D625" s="66">
        <v>5000000</v>
      </c>
      <c r="E625" s="66">
        <v>8611483</v>
      </c>
      <c r="F625" s="71">
        <v>0</v>
      </c>
      <c r="G625" s="58">
        <f t="shared" si="21"/>
        <v>-5000000</v>
      </c>
      <c r="H625" s="29"/>
      <c r="I625" s="21"/>
      <c r="J625" s="49"/>
      <c r="K625" s="58"/>
      <c r="M625" s="36"/>
    </row>
    <row r="626" spans="1:13" ht="23.25" customHeight="1">
      <c r="A626" s="18" t="s">
        <v>139</v>
      </c>
      <c r="B626" s="7" t="s">
        <v>800</v>
      </c>
      <c r="C626" s="38"/>
      <c r="D626" s="66">
        <v>0</v>
      </c>
      <c r="E626" s="66">
        <f>SUM(E627:E629)</f>
        <v>2855638</v>
      </c>
      <c r="F626" s="66">
        <f>SUM(F627:F629)</f>
        <v>0</v>
      </c>
      <c r="G626" s="35">
        <f>F626-D626</f>
        <v>0</v>
      </c>
      <c r="H626" s="29"/>
      <c r="I626" s="21"/>
      <c r="J626" s="49"/>
      <c r="K626" s="58"/>
      <c r="M626" s="36"/>
    </row>
    <row r="627" spans="1:13" ht="23.25" customHeight="1">
      <c r="A627" s="7"/>
      <c r="B627" s="7" t="s">
        <v>801</v>
      </c>
      <c r="C627" s="38" t="s">
        <v>148</v>
      </c>
      <c r="D627" s="66">
        <v>0</v>
      </c>
      <c r="E627" s="66">
        <v>107000</v>
      </c>
      <c r="F627" s="71">
        <v>0</v>
      </c>
      <c r="G627" s="35">
        <f t="shared" ref="G627:G641" si="22">F627-D627</f>
        <v>0</v>
      </c>
      <c r="H627" s="29"/>
      <c r="I627" s="21"/>
      <c r="J627" s="49"/>
      <c r="K627" s="58"/>
      <c r="M627" s="36"/>
    </row>
    <row r="628" spans="1:13" ht="23.25" customHeight="1">
      <c r="A628" s="7"/>
      <c r="B628" s="7"/>
      <c r="C628" s="38" t="s">
        <v>37</v>
      </c>
      <c r="D628" s="66">
        <v>0</v>
      </c>
      <c r="E628" s="66">
        <v>1182020</v>
      </c>
      <c r="F628" s="71">
        <v>0</v>
      </c>
      <c r="G628" s="35">
        <f t="shared" si="22"/>
        <v>0</v>
      </c>
      <c r="H628" s="29"/>
      <c r="I628" s="21"/>
      <c r="J628" s="49"/>
      <c r="K628" s="58"/>
      <c r="M628" s="36"/>
    </row>
    <row r="629" spans="1:13" ht="23.25" customHeight="1">
      <c r="A629" s="7"/>
      <c r="B629" s="7"/>
      <c r="C629" s="38" t="s">
        <v>85</v>
      </c>
      <c r="D629" s="66">
        <v>0</v>
      </c>
      <c r="E629" s="66">
        <v>1566618</v>
      </c>
      <c r="F629" s="71">
        <v>0</v>
      </c>
      <c r="G629" s="35">
        <f t="shared" si="22"/>
        <v>0</v>
      </c>
      <c r="H629" s="29"/>
      <c r="I629" s="21"/>
      <c r="J629" s="49"/>
      <c r="K629" s="58"/>
      <c r="M629" s="36"/>
    </row>
    <row r="630" spans="1:13" ht="23.25" customHeight="1">
      <c r="A630" s="7"/>
      <c r="B630" s="7" t="s">
        <v>802</v>
      </c>
      <c r="C630" s="38"/>
      <c r="D630" s="66">
        <v>0</v>
      </c>
      <c r="E630" s="66">
        <f>E631</f>
        <v>337970</v>
      </c>
      <c r="F630" s="71">
        <v>0</v>
      </c>
      <c r="G630" s="35">
        <f t="shared" si="22"/>
        <v>0</v>
      </c>
      <c r="H630" s="29"/>
      <c r="I630" s="21"/>
      <c r="J630" s="49"/>
      <c r="K630" s="58"/>
      <c r="M630" s="36"/>
    </row>
    <row r="631" spans="1:13" ht="23.25" customHeight="1">
      <c r="A631" s="7"/>
      <c r="B631" s="6"/>
      <c r="C631" s="38" t="s">
        <v>148</v>
      </c>
      <c r="D631" s="66">
        <v>0</v>
      </c>
      <c r="E631" s="66">
        <v>337970</v>
      </c>
      <c r="F631" s="71">
        <v>0</v>
      </c>
      <c r="G631" s="35">
        <f t="shared" si="22"/>
        <v>0</v>
      </c>
      <c r="H631" s="29"/>
      <c r="I631" s="21"/>
      <c r="J631" s="49"/>
      <c r="K631" s="58"/>
      <c r="M631" s="36"/>
    </row>
    <row r="632" spans="1:13" ht="23.25" customHeight="1">
      <c r="A632" s="7"/>
      <c r="B632" s="7" t="s">
        <v>803</v>
      </c>
      <c r="C632" s="38"/>
      <c r="D632" s="66">
        <v>0</v>
      </c>
      <c r="E632" s="66">
        <f>SUM(E633:E634)</f>
        <v>3810000</v>
      </c>
      <c r="F632" s="71">
        <v>0</v>
      </c>
      <c r="G632" s="35">
        <f t="shared" si="22"/>
        <v>0</v>
      </c>
      <c r="H632" s="29"/>
      <c r="I632" s="21"/>
      <c r="J632" s="49"/>
      <c r="K632" s="58"/>
      <c r="M632" s="36"/>
    </row>
    <row r="633" spans="1:13" ht="23.25" customHeight="1">
      <c r="A633" s="7"/>
      <c r="B633" s="7"/>
      <c r="C633" s="38" t="s">
        <v>798</v>
      </c>
      <c r="D633" s="66">
        <v>0</v>
      </c>
      <c r="E633" s="66">
        <v>2310000</v>
      </c>
      <c r="F633" s="71">
        <v>0</v>
      </c>
      <c r="G633" s="35">
        <f t="shared" si="22"/>
        <v>0</v>
      </c>
      <c r="H633" s="29"/>
      <c r="I633" s="21"/>
      <c r="J633" s="49"/>
      <c r="K633" s="58"/>
      <c r="M633" s="36"/>
    </row>
    <row r="634" spans="1:13" ht="23.25" customHeight="1">
      <c r="A634" s="7"/>
      <c r="B634" s="6"/>
      <c r="C634" s="38" t="s">
        <v>85</v>
      </c>
      <c r="D634" s="66">
        <v>0</v>
      </c>
      <c r="E634" s="66">
        <v>1500000</v>
      </c>
      <c r="F634" s="71">
        <v>0</v>
      </c>
      <c r="G634" s="35">
        <f t="shared" si="22"/>
        <v>0</v>
      </c>
      <c r="H634" s="29"/>
      <c r="I634" s="21"/>
      <c r="J634" s="49"/>
      <c r="K634" s="58"/>
      <c r="M634" s="36"/>
    </row>
    <row r="635" spans="1:13" ht="23.25" customHeight="1">
      <c r="A635" s="7"/>
      <c r="B635" s="7" t="s">
        <v>804</v>
      </c>
      <c r="C635" s="38"/>
      <c r="D635" s="66">
        <v>0</v>
      </c>
      <c r="E635" s="66">
        <f>SUM(E636:E641)</f>
        <v>2303800</v>
      </c>
      <c r="F635" s="71">
        <v>0</v>
      </c>
      <c r="G635" s="35">
        <f t="shared" si="22"/>
        <v>0</v>
      </c>
      <c r="H635" s="29"/>
      <c r="I635" s="21"/>
      <c r="J635" s="49"/>
      <c r="K635" s="58"/>
      <c r="M635" s="36"/>
    </row>
    <row r="636" spans="1:13" ht="23.25" customHeight="1">
      <c r="A636" s="7"/>
      <c r="B636" s="7"/>
      <c r="C636" s="38" t="s">
        <v>148</v>
      </c>
      <c r="D636" s="66">
        <v>0</v>
      </c>
      <c r="E636" s="66">
        <v>1003800</v>
      </c>
      <c r="F636" s="71">
        <v>0</v>
      </c>
      <c r="G636" s="35">
        <f t="shared" si="22"/>
        <v>0</v>
      </c>
      <c r="H636" s="29"/>
      <c r="I636" s="21"/>
      <c r="J636" s="49"/>
      <c r="K636" s="58"/>
      <c r="M636" s="36"/>
    </row>
    <row r="637" spans="1:13" ht="23.25" customHeight="1">
      <c r="A637" s="7"/>
      <c r="B637" s="7"/>
      <c r="C637" s="38" t="s">
        <v>150</v>
      </c>
      <c r="D637" s="66">
        <v>0</v>
      </c>
      <c r="E637" s="66">
        <v>720839</v>
      </c>
      <c r="F637" s="71">
        <v>0</v>
      </c>
      <c r="G637" s="35">
        <f t="shared" si="22"/>
        <v>0</v>
      </c>
      <c r="H637" s="29"/>
      <c r="I637" s="21"/>
      <c r="J637" s="49"/>
      <c r="K637" s="58"/>
      <c r="M637" s="36"/>
    </row>
    <row r="638" spans="1:13" ht="23.25" customHeight="1">
      <c r="A638" s="7"/>
      <c r="B638" s="7"/>
      <c r="C638" s="38" t="s">
        <v>145</v>
      </c>
      <c r="D638" s="66">
        <v>0</v>
      </c>
      <c r="E638" s="66">
        <v>275000</v>
      </c>
      <c r="F638" s="71">
        <v>0</v>
      </c>
      <c r="G638" s="35">
        <f t="shared" si="22"/>
        <v>0</v>
      </c>
      <c r="H638" s="29"/>
      <c r="I638" s="21"/>
      <c r="J638" s="49"/>
      <c r="K638" s="58"/>
      <c r="M638" s="36"/>
    </row>
    <row r="639" spans="1:13" ht="23.25" customHeight="1">
      <c r="A639" s="7"/>
      <c r="B639" s="7"/>
      <c r="C639" s="38" t="s">
        <v>797</v>
      </c>
      <c r="D639" s="66">
        <v>0</v>
      </c>
      <c r="E639" s="66">
        <v>205000</v>
      </c>
      <c r="F639" s="71">
        <v>0</v>
      </c>
      <c r="G639" s="35">
        <f t="shared" si="22"/>
        <v>0</v>
      </c>
      <c r="H639" s="29"/>
      <c r="I639" s="21"/>
      <c r="J639" s="49"/>
      <c r="K639" s="58"/>
      <c r="M639" s="36"/>
    </row>
    <row r="640" spans="1:13" ht="23.25" customHeight="1">
      <c r="A640" s="7"/>
      <c r="B640" s="7"/>
      <c r="C640" s="38" t="s">
        <v>37</v>
      </c>
      <c r="D640" s="66">
        <v>0</v>
      </c>
      <c r="E640" s="66">
        <v>38280</v>
      </c>
      <c r="F640" s="71">
        <v>0</v>
      </c>
      <c r="G640" s="35">
        <f t="shared" si="22"/>
        <v>0</v>
      </c>
      <c r="H640" s="29"/>
      <c r="I640" s="21"/>
      <c r="J640" s="49"/>
      <c r="K640" s="58"/>
      <c r="M640" s="36"/>
    </row>
    <row r="641" spans="1:13" ht="23.25" customHeight="1">
      <c r="A641" s="7"/>
      <c r="B641" s="6"/>
      <c r="C641" s="38" t="s">
        <v>85</v>
      </c>
      <c r="D641" s="66">
        <v>0</v>
      </c>
      <c r="E641" s="66">
        <v>60881</v>
      </c>
      <c r="F641" s="71">
        <v>0</v>
      </c>
      <c r="G641" s="35">
        <f t="shared" si="22"/>
        <v>0</v>
      </c>
      <c r="H641" s="29"/>
      <c r="I641" s="21"/>
      <c r="J641" s="49"/>
      <c r="K641" s="58"/>
      <c r="M641" s="36"/>
    </row>
    <row r="642" spans="1:13" ht="23.25" customHeight="1">
      <c r="A642" s="7"/>
      <c r="B642" s="7" t="s">
        <v>413</v>
      </c>
      <c r="C642" s="38"/>
      <c r="D642" s="66">
        <f>SUM(D643:D644)</f>
        <v>0</v>
      </c>
      <c r="E642" s="71">
        <f>SUM(E643:E644)</f>
        <v>0</v>
      </c>
      <c r="F642" s="71">
        <f>SUM(F643:F644)</f>
        <v>1140000</v>
      </c>
      <c r="G642" s="71">
        <f>SUM(G643:G644)</f>
        <v>1140000</v>
      </c>
      <c r="H642" s="29"/>
      <c r="I642" s="21"/>
      <c r="J642" s="49"/>
      <c r="K642" s="71"/>
      <c r="M642" s="36"/>
    </row>
    <row r="643" spans="1:13" ht="23.25" customHeight="1">
      <c r="A643" s="7"/>
      <c r="B643" s="7" t="s">
        <v>414</v>
      </c>
      <c r="C643" s="12" t="s">
        <v>148</v>
      </c>
      <c r="D643" s="71">
        <v>0</v>
      </c>
      <c r="E643" s="71">
        <v>0</v>
      </c>
      <c r="F643" s="71">
        <f>SUM(J643)</f>
        <v>600000</v>
      </c>
      <c r="G643" s="58">
        <f>F643-D643</f>
        <v>600000</v>
      </c>
      <c r="H643" s="85" t="s">
        <v>142</v>
      </c>
      <c r="I643" s="19" t="s">
        <v>415</v>
      </c>
      <c r="J643" s="84">
        <v>600000</v>
      </c>
      <c r="K643" s="58"/>
      <c r="M643" s="36"/>
    </row>
    <row r="644" spans="1:13" ht="23.25" customHeight="1">
      <c r="A644" s="7"/>
      <c r="B644" s="6"/>
      <c r="C644" s="38" t="s">
        <v>31</v>
      </c>
      <c r="D644" s="66">
        <v>0</v>
      </c>
      <c r="E644" s="66">
        <v>0</v>
      </c>
      <c r="F644" s="66">
        <f>SUM(J644)</f>
        <v>540000</v>
      </c>
      <c r="G644" s="56">
        <f>F644-D644</f>
        <v>540000</v>
      </c>
      <c r="H644" s="29" t="s">
        <v>416</v>
      </c>
      <c r="I644" s="21" t="s">
        <v>417</v>
      </c>
      <c r="J644" s="49">
        <f>80*1*5*1350</f>
        <v>540000</v>
      </c>
      <c r="K644" s="56"/>
      <c r="M644" s="36"/>
    </row>
    <row r="645" spans="1:13" ht="23.25" customHeight="1">
      <c r="A645" s="7"/>
      <c r="B645" s="7" t="s">
        <v>413</v>
      </c>
      <c r="C645" s="79"/>
      <c r="D645" s="80">
        <f>SUM(D646:D647)</f>
        <v>0</v>
      </c>
      <c r="E645" s="83">
        <f>SUM(E646:E647)</f>
        <v>0</v>
      </c>
      <c r="F645" s="83">
        <f>SUM(F646:F647)</f>
        <v>2540000</v>
      </c>
      <c r="G645" s="83">
        <f>SUM(G646:G647)</f>
        <v>2540000</v>
      </c>
      <c r="H645" s="28"/>
      <c r="I645" s="20"/>
      <c r="J645" s="48"/>
      <c r="K645" s="83"/>
      <c r="M645" s="36"/>
    </row>
    <row r="646" spans="1:13" ht="23.25" customHeight="1">
      <c r="A646" s="7"/>
      <c r="B646" s="7" t="s">
        <v>418</v>
      </c>
      <c r="C646" s="12" t="s">
        <v>148</v>
      </c>
      <c r="D646" s="71">
        <v>0</v>
      </c>
      <c r="E646" s="71">
        <v>0</v>
      </c>
      <c r="F646" s="71">
        <f>J646</f>
        <v>2000000</v>
      </c>
      <c r="G646" s="58">
        <f>F646-D646</f>
        <v>2000000</v>
      </c>
      <c r="H646" s="85" t="s">
        <v>142</v>
      </c>
      <c r="I646" s="19" t="s">
        <v>419</v>
      </c>
      <c r="J646" s="84">
        <v>2000000</v>
      </c>
      <c r="K646" s="58"/>
      <c r="M646" s="36"/>
    </row>
    <row r="647" spans="1:13" ht="23.25" customHeight="1">
      <c r="A647" s="6"/>
      <c r="B647" s="6"/>
      <c r="C647" s="6" t="s">
        <v>31</v>
      </c>
      <c r="D647" s="66">
        <v>0</v>
      </c>
      <c r="E647" s="66">
        <v>0</v>
      </c>
      <c r="F647" s="66">
        <f>J647</f>
        <v>540000</v>
      </c>
      <c r="G647" s="58">
        <f>F647-D647</f>
        <v>540000</v>
      </c>
      <c r="H647" s="29" t="s">
        <v>416</v>
      </c>
      <c r="I647" s="21" t="s">
        <v>417</v>
      </c>
      <c r="J647" s="49">
        <f>80*1*5*1350</f>
        <v>540000</v>
      </c>
      <c r="K647" s="58"/>
      <c r="M647" s="36"/>
    </row>
    <row r="648" spans="1:13" ht="18.75" customHeight="1">
      <c r="A648" s="18" t="s">
        <v>159</v>
      </c>
      <c r="B648" s="12"/>
      <c r="C648" s="12"/>
      <c r="D648" s="35">
        <v>200320000</v>
      </c>
      <c r="E648" s="35">
        <f>E649+E697</f>
        <v>225825809</v>
      </c>
      <c r="F648" s="35">
        <f>F649+F697</f>
        <v>320562000</v>
      </c>
      <c r="G648" s="35">
        <f>G649+G697</f>
        <v>120242000</v>
      </c>
      <c r="H648" s="76"/>
      <c r="I648" s="14"/>
      <c r="J648" s="42"/>
      <c r="K648" s="35"/>
      <c r="M648" s="36"/>
    </row>
    <row r="649" spans="1:13" ht="18.75" customHeight="1">
      <c r="A649" s="7" t="s">
        <v>160</v>
      </c>
      <c r="B649" s="7" t="s">
        <v>161</v>
      </c>
      <c r="C649" s="6"/>
      <c r="D649" s="35">
        <v>200320000</v>
      </c>
      <c r="E649" s="35">
        <f>SUM(E650:E696)</f>
        <v>225825809</v>
      </c>
      <c r="F649" s="35">
        <f>SUM(F650:F696)</f>
        <v>314562000</v>
      </c>
      <c r="G649" s="58">
        <f>F649-D649</f>
        <v>114242000</v>
      </c>
      <c r="H649" s="8"/>
      <c r="I649" s="9"/>
      <c r="J649" s="40"/>
      <c r="K649" s="58"/>
      <c r="M649" s="36"/>
    </row>
    <row r="650" spans="1:13" ht="18.75" customHeight="1">
      <c r="A650" s="7"/>
      <c r="B650" s="7" t="s">
        <v>162</v>
      </c>
      <c r="C650" s="7" t="s">
        <v>71</v>
      </c>
      <c r="D650" s="25">
        <v>102760000</v>
      </c>
      <c r="E650" s="25">
        <v>130514000</v>
      </c>
      <c r="F650" s="25">
        <f>SUM(J650:J652)</f>
        <v>166888000</v>
      </c>
      <c r="G650" s="59">
        <f>F650-D650</f>
        <v>64128000</v>
      </c>
      <c r="H650" s="23" t="s">
        <v>163</v>
      </c>
      <c r="I650" s="11" t="s">
        <v>669</v>
      </c>
      <c r="J650" s="41">
        <f>122000*1350</f>
        <v>164700000</v>
      </c>
      <c r="K650" s="59"/>
      <c r="M650" s="36"/>
    </row>
    <row r="651" spans="1:13" ht="18.75" customHeight="1">
      <c r="A651" s="7"/>
      <c r="B651" s="7"/>
      <c r="C651" s="7"/>
      <c r="D651" s="25"/>
      <c r="E651" s="25"/>
      <c r="F651" s="25"/>
      <c r="G651" s="59"/>
      <c r="H651" s="23" t="s">
        <v>221</v>
      </c>
      <c r="I651" s="11" t="s">
        <v>670</v>
      </c>
      <c r="J651" s="41">
        <f>198000*6</f>
        <v>1188000</v>
      </c>
      <c r="K651" s="59"/>
      <c r="M651" s="36"/>
    </row>
    <row r="652" spans="1:13" ht="18.75" customHeight="1">
      <c r="A652" s="7"/>
      <c r="B652" s="7"/>
      <c r="C652" s="6"/>
      <c r="D652" s="37"/>
      <c r="E652" s="37"/>
      <c r="F652" s="37"/>
      <c r="G652" s="56"/>
      <c r="H652" s="8" t="s">
        <v>164</v>
      </c>
      <c r="I652" s="9"/>
      <c r="J652" s="40">
        <v>1000000</v>
      </c>
      <c r="K652" s="56"/>
      <c r="M652" s="36"/>
    </row>
    <row r="653" spans="1:13" ht="18.75" customHeight="1">
      <c r="A653" s="7"/>
      <c r="B653" s="7"/>
      <c r="C653" s="7" t="s">
        <v>150</v>
      </c>
      <c r="D653" s="25">
        <v>11000000</v>
      </c>
      <c r="E653" s="25">
        <v>6831000</v>
      </c>
      <c r="F653" s="25">
        <f>SUM(J653:J655)</f>
        <v>15000000</v>
      </c>
      <c r="G653" s="59">
        <f>F653-D653</f>
        <v>4000000</v>
      </c>
      <c r="H653" s="10" t="s">
        <v>671</v>
      </c>
      <c r="I653" s="20" t="s">
        <v>672</v>
      </c>
      <c r="J653" s="41">
        <f>100000*25*5</f>
        <v>12500000</v>
      </c>
      <c r="K653" s="59"/>
      <c r="M653" s="36"/>
    </row>
    <row r="654" spans="1:13" ht="18.75" customHeight="1">
      <c r="A654" s="7"/>
      <c r="B654" s="7"/>
      <c r="C654" s="7"/>
      <c r="D654" s="25"/>
      <c r="E654" s="25"/>
      <c r="F654" s="25"/>
      <c r="G654" s="59"/>
      <c r="H654" s="10" t="s">
        <v>165</v>
      </c>
      <c r="I654" s="20" t="s">
        <v>673</v>
      </c>
      <c r="J654" s="41">
        <f>4000*25*5</f>
        <v>500000</v>
      </c>
      <c r="K654" s="59"/>
      <c r="M654" s="36"/>
    </row>
    <row r="655" spans="1:13" ht="18.75" customHeight="1">
      <c r="A655" s="7"/>
      <c r="B655" s="7"/>
      <c r="C655" s="6"/>
      <c r="D655" s="37"/>
      <c r="E655" s="37"/>
      <c r="F655" s="37"/>
      <c r="G655" s="56"/>
      <c r="H655" s="8" t="s">
        <v>674</v>
      </c>
      <c r="I655" s="21"/>
      <c r="J655" s="40">
        <v>2000000</v>
      </c>
      <c r="K655" s="56"/>
      <c r="M655" s="36"/>
    </row>
    <row r="656" spans="1:13" ht="18.75" customHeight="1">
      <c r="A656" s="7"/>
      <c r="B656" s="7"/>
      <c r="C656" s="18" t="s">
        <v>55</v>
      </c>
      <c r="D656" s="53">
        <v>15760000</v>
      </c>
      <c r="E656" s="53">
        <v>14084830</v>
      </c>
      <c r="F656" s="53">
        <f>SUM(J656:J664)</f>
        <v>26790000</v>
      </c>
      <c r="G656" s="57">
        <f>F656-D656</f>
        <v>11030000</v>
      </c>
      <c r="H656" s="31" t="s">
        <v>77</v>
      </c>
      <c r="I656" s="16" t="s">
        <v>675</v>
      </c>
      <c r="J656" s="43">
        <f>30000*50*5</f>
        <v>7500000</v>
      </c>
      <c r="K656" s="57"/>
      <c r="M656" s="36"/>
    </row>
    <row r="657" spans="1:13" ht="18.75" customHeight="1">
      <c r="A657" s="7"/>
      <c r="B657" s="7"/>
      <c r="C657" s="7"/>
      <c r="D657" s="25"/>
      <c r="E657" s="25"/>
      <c r="F657" s="25"/>
      <c r="G657" s="59"/>
      <c r="H657" s="23" t="s">
        <v>78</v>
      </c>
      <c r="I657" s="11" t="s">
        <v>676</v>
      </c>
      <c r="J657" s="41">
        <f>15000*50*5</f>
        <v>3750000</v>
      </c>
      <c r="K657" s="59"/>
      <c r="M657" s="36"/>
    </row>
    <row r="658" spans="1:13" ht="18.75" customHeight="1">
      <c r="A658" s="7"/>
      <c r="B658" s="7"/>
      <c r="C658" s="7"/>
      <c r="D658" s="25"/>
      <c r="E658" s="25"/>
      <c r="F658" s="25"/>
      <c r="G658" s="59"/>
      <c r="H658" s="23" t="s">
        <v>677</v>
      </c>
      <c r="I658" s="11" t="s">
        <v>678</v>
      </c>
      <c r="J658" s="41">
        <f>50000*50</f>
        <v>2500000</v>
      </c>
      <c r="K658" s="59"/>
      <c r="M658" s="36"/>
    </row>
    <row r="659" spans="1:13" ht="18.75" customHeight="1">
      <c r="A659" s="7"/>
      <c r="B659" s="7"/>
      <c r="C659" s="7"/>
      <c r="D659" s="25"/>
      <c r="E659" s="25"/>
      <c r="F659" s="25"/>
      <c r="G659" s="59"/>
      <c r="H659" s="23" t="s">
        <v>679</v>
      </c>
      <c r="I659" s="11" t="s">
        <v>680</v>
      </c>
      <c r="J659" s="41">
        <f>40000*25*5</f>
        <v>5000000</v>
      </c>
      <c r="K659" s="59"/>
      <c r="M659" s="36"/>
    </row>
    <row r="660" spans="1:13" ht="18.75" customHeight="1">
      <c r="A660" s="7"/>
      <c r="B660" s="7"/>
      <c r="C660" s="7"/>
      <c r="D660" s="25"/>
      <c r="E660" s="25"/>
      <c r="F660" s="25"/>
      <c r="G660" s="59"/>
      <c r="H660" s="23" t="s">
        <v>681</v>
      </c>
      <c r="I660" s="11" t="s">
        <v>682</v>
      </c>
      <c r="J660" s="41">
        <f>20*5*5*1350</f>
        <v>675000</v>
      </c>
      <c r="K660" s="59"/>
      <c r="M660" s="36"/>
    </row>
    <row r="661" spans="1:13" ht="18.75" customHeight="1">
      <c r="A661" s="7"/>
      <c r="B661" s="7"/>
      <c r="C661" s="7"/>
      <c r="D661" s="25"/>
      <c r="E661" s="25"/>
      <c r="F661" s="25"/>
      <c r="G661" s="59"/>
      <c r="H661" s="23" t="s">
        <v>681</v>
      </c>
      <c r="I661" s="11" t="s">
        <v>683</v>
      </c>
      <c r="J661" s="41">
        <f>120000*5*5</f>
        <v>3000000</v>
      </c>
      <c r="K661" s="59"/>
      <c r="M661" s="36"/>
    </row>
    <row r="662" spans="1:13" ht="18.75" customHeight="1">
      <c r="A662" s="7"/>
      <c r="B662" s="7"/>
      <c r="C662" s="7"/>
      <c r="D662" s="25"/>
      <c r="E662" s="25"/>
      <c r="F662" s="25"/>
      <c r="G662" s="59"/>
      <c r="H662" s="23" t="s">
        <v>684</v>
      </c>
      <c r="I662" s="11" t="s">
        <v>685</v>
      </c>
      <c r="J662" s="41">
        <f>120000*3*5</f>
        <v>1800000</v>
      </c>
      <c r="K662" s="59"/>
      <c r="M662" s="36"/>
    </row>
    <row r="663" spans="1:13" ht="18.75" customHeight="1">
      <c r="A663" s="7"/>
      <c r="B663" s="7"/>
      <c r="C663" s="7"/>
      <c r="D663" s="25"/>
      <c r="E663" s="25"/>
      <c r="F663" s="25"/>
      <c r="G663" s="59"/>
      <c r="H663" s="23" t="s">
        <v>686</v>
      </c>
      <c r="I663" s="11" t="s">
        <v>687</v>
      </c>
      <c r="J663" s="41">
        <f>400*1350</f>
        <v>540000</v>
      </c>
      <c r="K663" s="59"/>
      <c r="M663" s="36"/>
    </row>
    <row r="664" spans="1:13" ht="18.75" customHeight="1">
      <c r="A664" s="7"/>
      <c r="B664" s="7"/>
      <c r="C664" s="6"/>
      <c r="D664" s="37"/>
      <c r="E664" s="37"/>
      <c r="F664" s="37"/>
      <c r="G664" s="56"/>
      <c r="H664" s="24" t="s">
        <v>688</v>
      </c>
      <c r="I664" s="9" t="s">
        <v>689</v>
      </c>
      <c r="J664" s="40">
        <f>500*3*1350</f>
        <v>2025000</v>
      </c>
      <c r="K664" s="56"/>
      <c r="M664" s="36"/>
    </row>
    <row r="665" spans="1:13" ht="18.75" customHeight="1">
      <c r="A665" s="7"/>
      <c r="B665" s="7"/>
      <c r="C665" s="7" t="s">
        <v>16</v>
      </c>
      <c r="D665" s="25">
        <v>7000000</v>
      </c>
      <c r="E665" s="25">
        <v>6638800</v>
      </c>
      <c r="F665" s="25">
        <f>SUM(J665:J674)</f>
        <v>10084000</v>
      </c>
      <c r="G665" s="59">
        <f>F665-D665</f>
        <v>3084000</v>
      </c>
      <c r="H665" s="10" t="s">
        <v>529</v>
      </c>
      <c r="I665" s="11" t="s">
        <v>690</v>
      </c>
      <c r="J665" s="41">
        <f>3170*300</f>
        <v>951000</v>
      </c>
      <c r="K665" s="59"/>
      <c r="M665" s="36"/>
    </row>
    <row r="666" spans="1:13" ht="18.75" customHeight="1">
      <c r="A666" s="7"/>
      <c r="B666" s="7"/>
      <c r="C666" s="7"/>
      <c r="D666" s="25"/>
      <c r="E666" s="25"/>
      <c r="F666" s="25"/>
      <c r="G666" s="59"/>
      <c r="H666" s="10" t="s">
        <v>103</v>
      </c>
      <c r="I666" s="11" t="s">
        <v>691</v>
      </c>
      <c r="J666" s="41">
        <f>7260*500</f>
        <v>3630000</v>
      </c>
      <c r="K666" s="59"/>
      <c r="M666" s="36"/>
    </row>
    <row r="667" spans="1:13" ht="18.75" customHeight="1">
      <c r="A667" s="7"/>
      <c r="B667" s="7"/>
      <c r="C667" s="7"/>
      <c r="D667" s="25"/>
      <c r="E667" s="25"/>
      <c r="F667" s="25"/>
      <c r="G667" s="59"/>
      <c r="H667" s="10" t="s">
        <v>692</v>
      </c>
      <c r="I667" s="11" t="s">
        <v>693</v>
      </c>
      <c r="J667" s="41">
        <f>4950*400</f>
        <v>1980000</v>
      </c>
      <c r="K667" s="59"/>
      <c r="M667" s="36"/>
    </row>
    <row r="668" spans="1:13" ht="18.75" customHeight="1">
      <c r="A668" s="7"/>
      <c r="B668" s="7"/>
      <c r="C668" s="7"/>
      <c r="D668" s="25"/>
      <c r="E668" s="25"/>
      <c r="F668" s="25"/>
      <c r="G668" s="59"/>
      <c r="H668" s="10" t="s">
        <v>694</v>
      </c>
      <c r="I668" s="11"/>
      <c r="J668" s="41">
        <v>440000</v>
      </c>
      <c r="K668" s="59"/>
      <c r="M668" s="36"/>
    </row>
    <row r="669" spans="1:13" ht="18.75" customHeight="1">
      <c r="A669" s="7"/>
      <c r="B669" s="7"/>
      <c r="C669" s="7"/>
      <c r="D669" s="25"/>
      <c r="E669" s="25"/>
      <c r="F669" s="25"/>
      <c r="G669" s="59"/>
      <c r="H669" s="10" t="s">
        <v>695</v>
      </c>
      <c r="I669" s="11" t="s">
        <v>696</v>
      </c>
      <c r="J669" s="41">
        <f>1400*550</f>
        <v>770000</v>
      </c>
      <c r="K669" s="59"/>
      <c r="M669" s="36"/>
    </row>
    <row r="670" spans="1:13" ht="18.75" customHeight="1">
      <c r="A670" s="7"/>
      <c r="B670" s="7"/>
      <c r="C670" s="7"/>
      <c r="D670" s="25"/>
      <c r="E670" s="25"/>
      <c r="F670" s="25"/>
      <c r="G670" s="59"/>
      <c r="H670" s="10" t="s">
        <v>697</v>
      </c>
      <c r="I670" s="11" t="s">
        <v>698</v>
      </c>
      <c r="J670" s="41">
        <f>82500*8</f>
        <v>660000</v>
      </c>
      <c r="K670" s="59"/>
      <c r="M670" s="36"/>
    </row>
    <row r="671" spans="1:13" ht="18.75" customHeight="1">
      <c r="A671" s="7"/>
      <c r="B671" s="7"/>
      <c r="C671" s="7"/>
      <c r="D671" s="25"/>
      <c r="E671" s="25"/>
      <c r="F671" s="25"/>
      <c r="G671" s="59"/>
      <c r="H671" s="64" t="s">
        <v>704</v>
      </c>
      <c r="I671" s="11"/>
      <c r="J671" s="41">
        <v>605000</v>
      </c>
      <c r="K671" s="59"/>
      <c r="M671" s="36"/>
    </row>
    <row r="672" spans="1:13" ht="18.75" customHeight="1">
      <c r="A672" s="7"/>
      <c r="B672" s="7"/>
      <c r="C672" s="7"/>
      <c r="D672" s="25"/>
      <c r="E672" s="25"/>
      <c r="F672" s="25"/>
      <c r="G672" s="59"/>
      <c r="H672" s="10" t="s">
        <v>699</v>
      </c>
      <c r="I672" s="11" t="s">
        <v>700</v>
      </c>
      <c r="J672" s="41">
        <f>2120*400</f>
        <v>848000</v>
      </c>
      <c r="K672" s="59"/>
      <c r="M672" s="36"/>
    </row>
    <row r="673" spans="1:13" ht="18.75" customHeight="1">
      <c r="A673" s="7"/>
      <c r="B673" s="7"/>
      <c r="C673" s="7"/>
      <c r="D673" s="25"/>
      <c r="E673" s="25"/>
      <c r="F673" s="25"/>
      <c r="G673" s="59"/>
      <c r="H673" s="10" t="s">
        <v>701</v>
      </c>
      <c r="I673" s="11"/>
      <c r="J673" s="41">
        <v>100000</v>
      </c>
      <c r="K673" s="59"/>
      <c r="M673" s="36"/>
    </row>
    <row r="674" spans="1:13" ht="18.75" customHeight="1">
      <c r="A674" s="6"/>
      <c r="B674" s="6"/>
      <c r="C674" s="6"/>
      <c r="D674" s="37"/>
      <c r="E674" s="37"/>
      <c r="F674" s="37"/>
      <c r="G674" s="56"/>
      <c r="H674" s="8" t="s">
        <v>702</v>
      </c>
      <c r="I674" s="11"/>
      <c r="J674" s="41">
        <v>100000</v>
      </c>
      <c r="K674" s="56"/>
      <c r="M674" s="36"/>
    </row>
    <row r="675" spans="1:13" ht="15.75" customHeight="1">
      <c r="A675" s="7" t="s">
        <v>159</v>
      </c>
      <c r="B675" s="7" t="s">
        <v>161</v>
      </c>
      <c r="C675" s="7" t="s">
        <v>65</v>
      </c>
      <c r="D675" s="25">
        <v>3200000</v>
      </c>
      <c r="E675" s="25">
        <v>3400800</v>
      </c>
      <c r="F675" s="25">
        <f>SUM(J675:J678)</f>
        <v>22000000</v>
      </c>
      <c r="G675" s="59">
        <f>F675-D675</f>
        <v>18800000</v>
      </c>
      <c r="H675" s="10" t="s">
        <v>166</v>
      </c>
      <c r="I675" s="16"/>
      <c r="J675" s="43">
        <v>5000000</v>
      </c>
      <c r="K675" s="59"/>
      <c r="M675" s="36"/>
    </row>
    <row r="676" spans="1:13" ht="15.75" customHeight="1">
      <c r="A676" s="7" t="s">
        <v>160</v>
      </c>
      <c r="B676" s="7" t="s">
        <v>162</v>
      </c>
      <c r="C676" s="7"/>
      <c r="D676" s="25"/>
      <c r="E676" s="25"/>
      <c r="F676" s="25"/>
      <c r="G676" s="59"/>
      <c r="H676" s="10" t="s">
        <v>167</v>
      </c>
      <c r="I676" s="11"/>
      <c r="J676" s="41">
        <v>2000000</v>
      </c>
      <c r="K676" s="59"/>
      <c r="M676" s="36"/>
    </row>
    <row r="677" spans="1:13" ht="15.75" customHeight="1">
      <c r="A677" s="7"/>
      <c r="B677" s="7"/>
      <c r="C677" s="7"/>
      <c r="D677" s="25"/>
      <c r="E677" s="25"/>
      <c r="F677" s="25"/>
      <c r="G677" s="59"/>
      <c r="H677" s="10" t="s">
        <v>703</v>
      </c>
      <c r="I677" s="11"/>
      <c r="J677" s="41">
        <v>4000000</v>
      </c>
      <c r="K677" s="59"/>
      <c r="M677" s="36"/>
    </row>
    <row r="678" spans="1:13" ht="15.75" customHeight="1">
      <c r="A678" s="7"/>
      <c r="B678" s="7"/>
      <c r="C678" s="6"/>
      <c r="D678" s="37"/>
      <c r="E678" s="37"/>
      <c r="F678" s="37"/>
      <c r="G678" s="56"/>
      <c r="H678" s="8" t="s">
        <v>705</v>
      </c>
      <c r="I678" s="9" t="s">
        <v>706</v>
      </c>
      <c r="J678" s="40">
        <f>55000*200</f>
        <v>11000000</v>
      </c>
      <c r="K678" s="56"/>
      <c r="M678" s="36"/>
    </row>
    <row r="679" spans="1:13" ht="15.75" customHeight="1">
      <c r="A679" s="7"/>
      <c r="B679" s="7"/>
      <c r="C679" s="7" t="s">
        <v>35</v>
      </c>
      <c r="D679" s="25">
        <v>16200000</v>
      </c>
      <c r="E679" s="25">
        <v>28331879</v>
      </c>
      <c r="F679" s="25">
        <f>SUM(J679:J682)</f>
        <v>23500000</v>
      </c>
      <c r="G679" s="59">
        <f>F679-D679</f>
        <v>7300000</v>
      </c>
      <c r="H679" s="10" t="s">
        <v>168</v>
      </c>
      <c r="I679" s="11"/>
      <c r="J679" s="41">
        <v>15000000</v>
      </c>
      <c r="K679" s="59"/>
      <c r="M679" s="36"/>
    </row>
    <row r="680" spans="1:13" ht="15.75" customHeight="1">
      <c r="A680" s="7"/>
      <c r="B680" s="7"/>
      <c r="C680" s="7"/>
      <c r="D680" s="25"/>
      <c r="E680" s="25"/>
      <c r="F680" s="25"/>
      <c r="G680" s="59"/>
      <c r="H680" s="10" t="s">
        <v>169</v>
      </c>
      <c r="I680" s="11"/>
      <c r="J680" s="41">
        <v>2500000</v>
      </c>
      <c r="K680" s="59"/>
      <c r="M680" s="36"/>
    </row>
    <row r="681" spans="1:13" ht="15.75" customHeight="1">
      <c r="A681" s="7"/>
      <c r="B681" s="7"/>
      <c r="C681" s="7"/>
      <c r="D681" s="25"/>
      <c r="E681" s="25"/>
      <c r="F681" s="25"/>
      <c r="G681" s="59"/>
      <c r="H681" s="10" t="s">
        <v>170</v>
      </c>
      <c r="I681" s="11"/>
      <c r="J681" s="41">
        <v>1000000</v>
      </c>
      <c r="K681" s="59"/>
      <c r="M681" s="36"/>
    </row>
    <row r="682" spans="1:13" ht="15.75" customHeight="1">
      <c r="A682" s="7"/>
      <c r="B682" s="7"/>
      <c r="C682" s="6"/>
      <c r="D682" s="37"/>
      <c r="E682" s="37"/>
      <c r="F682" s="37"/>
      <c r="G682" s="56"/>
      <c r="H682" s="8" t="s">
        <v>219</v>
      </c>
      <c r="I682" s="9"/>
      <c r="J682" s="40">
        <v>5000000</v>
      </c>
      <c r="K682" s="56"/>
      <c r="M682" s="36"/>
    </row>
    <row r="683" spans="1:13" ht="15.75" customHeight="1">
      <c r="A683" s="7"/>
      <c r="B683" s="7"/>
      <c r="C683" s="7" t="s">
        <v>171</v>
      </c>
      <c r="D683" s="25">
        <v>16400000</v>
      </c>
      <c r="E683" s="25">
        <v>23306670</v>
      </c>
      <c r="F683" s="25">
        <f>SUM(J683:J690)</f>
        <v>22300000</v>
      </c>
      <c r="G683" s="59">
        <f>F683-D683</f>
        <v>5900000</v>
      </c>
      <c r="H683" s="10" t="s">
        <v>172</v>
      </c>
      <c r="I683" s="11" t="s">
        <v>707</v>
      </c>
      <c r="J683" s="41">
        <f>100000*30</f>
        <v>3000000</v>
      </c>
      <c r="K683" s="59"/>
      <c r="M683" s="36"/>
    </row>
    <row r="684" spans="1:13" ht="15.75" customHeight="1">
      <c r="A684" s="7"/>
      <c r="B684" s="7"/>
      <c r="C684" s="7"/>
      <c r="D684" s="25"/>
      <c r="E684" s="25"/>
      <c r="F684" s="25"/>
      <c r="G684" s="59"/>
      <c r="H684" s="10" t="s">
        <v>173</v>
      </c>
      <c r="I684" s="11" t="s">
        <v>708</v>
      </c>
      <c r="J684" s="41">
        <f>5000*12*30</f>
        <v>1800000</v>
      </c>
      <c r="K684" s="59"/>
      <c r="M684" s="36"/>
    </row>
    <row r="685" spans="1:13" ht="15.75" customHeight="1">
      <c r="A685" s="7"/>
      <c r="B685" s="7"/>
      <c r="C685" s="7"/>
      <c r="D685" s="25"/>
      <c r="E685" s="25"/>
      <c r="F685" s="25"/>
      <c r="G685" s="59"/>
      <c r="H685" s="10" t="s">
        <v>174</v>
      </c>
      <c r="I685" s="11" t="s">
        <v>709</v>
      </c>
      <c r="J685" s="41">
        <f>40000*15*5</f>
        <v>3000000</v>
      </c>
      <c r="K685" s="59"/>
      <c r="M685" s="36"/>
    </row>
    <row r="686" spans="1:13" ht="15.75" customHeight="1">
      <c r="A686" s="7"/>
      <c r="B686" s="7"/>
      <c r="C686" s="7"/>
      <c r="D686" s="25"/>
      <c r="E686" s="25"/>
      <c r="F686" s="25"/>
      <c r="G686" s="59"/>
      <c r="H686" s="10" t="s">
        <v>59</v>
      </c>
      <c r="I686" s="11" t="s">
        <v>570</v>
      </c>
      <c r="J686" s="41">
        <f>50000*10*5</f>
        <v>2500000</v>
      </c>
      <c r="K686" s="59"/>
      <c r="M686" s="36"/>
    </row>
    <row r="687" spans="1:13" ht="15.75" customHeight="1">
      <c r="A687" s="7"/>
      <c r="B687" s="7"/>
      <c r="C687" s="7"/>
      <c r="D687" s="25"/>
      <c r="E687" s="25"/>
      <c r="F687" s="25"/>
      <c r="G687" s="59"/>
      <c r="H687" s="10" t="s">
        <v>175</v>
      </c>
      <c r="I687" s="11" t="s">
        <v>710</v>
      </c>
      <c r="J687" s="41">
        <f>400000*5*3</f>
        <v>6000000</v>
      </c>
      <c r="K687" s="59"/>
      <c r="M687" s="36"/>
    </row>
    <row r="688" spans="1:13" ht="15.75" customHeight="1">
      <c r="A688" s="7"/>
      <c r="B688" s="7"/>
      <c r="C688" s="7"/>
      <c r="D688" s="25"/>
      <c r="E688" s="25"/>
      <c r="F688" s="25"/>
      <c r="G688" s="59"/>
      <c r="H688" s="10" t="s">
        <v>176</v>
      </c>
      <c r="I688" s="11"/>
      <c r="J688" s="41">
        <v>3000000</v>
      </c>
      <c r="K688" s="59"/>
      <c r="M688" s="36"/>
    </row>
    <row r="689" spans="1:13" ht="15.75" customHeight="1">
      <c r="A689" s="7"/>
      <c r="B689" s="7"/>
      <c r="C689" s="7"/>
      <c r="D689" s="25"/>
      <c r="E689" s="25"/>
      <c r="F689" s="25"/>
      <c r="G689" s="59"/>
      <c r="H689" s="10" t="s">
        <v>177</v>
      </c>
      <c r="I689" s="11"/>
      <c r="J689" s="41">
        <v>2000000</v>
      </c>
      <c r="K689" s="59"/>
      <c r="M689" s="36"/>
    </row>
    <row r="690" spans="1:13" ht="15.75" customHeight="1">
      <c r="A690" s="7"/>
      <c r="B690" s="7"/>
      <c r="C690" s="6"/>
      <c r="D690" s="37"/>
      <c r="E690" s="37"/>
      <c r="F690" s="37"/>
      <c r="G690" s="56"/>
      <c r="H690" s="8" t="s">
        <v>178</v>
      </c>
      <c r="I690" s="9"/>
      <c r="J690" s="40">
        <v>1000000</v>
      </c>
      <c r="K690" s="56"/>
      <c r="M690" s="36"/>
    </row>
    <row r="691" spans="1:13" ht="15.75" customHeight="1">
      <c r="A691" s="7"/>
      <c r="B691" s="7"/>
      <c r="C691" s="7" t="s">
        <v>9</v>
      </c>
      <c r="D691" s="25">
        <v>2000000</v>
      </c>
      <c r="E691" s="25">
        <v>1297830</v>
      </c>
      <c r="F691" s="25">
        <f>SUM(J691:J692)</f>
        <v>3000000</v>
      </c>
      <c r="G691" s="59">
        <f>F691-D691</f>
        <v>1000000</v>
      </c>
      <c r="H691" s="10" t="s">
        <v>179</v>
      </c>
      <c r="I691" s="11"/>
      <c r="J691" s="41">
        <v>2000000</v>
      </c>
      <c r="K691" s="59"/>
      <c r="M691" s="36"/>
    </row>
    <row r="692" spans="1:13" ht="15.75" customHeight="1">
      <c r="A692" s="7"/>
      <c r="B692" s="7"/>
      <c r="C692" s="6"/>
      <c r="D692" s="37"/>
      <c r="E692" s="37"/>
      <c r="F692" s="37"/>
      <c r="G692" s="56"/>
      <c r="H692" s="8" t="s">
        <v>180</v>
      </c>
      <c r="I692" s="9"/>
      <c r="J692" s="40">
        <v>1000000</v>
      </c>
      <c r="K692" s="56"/>
      <c r="M692" s="36"/>
    </row>
    <row r="693" spans="1:13" ht="15.75" customHeight="1">
      <c r="A693" s="7"/>
      <c r="B693" s="7"/>
      <c r="C693" s="6" t="s">
        <v>42</v>
      </c>
      <c r="D693" s="37">
        <v>10000000</v>
      </c>
      <c r="E693" s="37">
        <v>0</v>
      </c>
      <c r="F693" s="35">
        <f>SUM(J693:J693)</f>
        <v>10000000</v>
      </c>
      <c r="G693" s="58">
        <f>F693-D693</f>
        <v>0</v>
      </c>
      <c r="H693" s="13" t="s">
        <v>181</v>
      </c>
      <c r="I693" s="14"/>
      <c r="J693" s="42">
        <v>10000000</v>
      </c>
      <c r="K693" s="58"/>
      <c r="M693" s="36"/>
    </row>
    <row r="694" spans="1:13" ht="15.75" customHeight="1">
      <c r="A694" s="7"/>
      <c r="B694" s="7"/>
      <c r="C694" s="12" t="s">
        <v>37</v>
      </c>
      <c r="D694" s="35">
        <v>5000000</v>
      </c>
      <c r="E694" s="35">
        <v>5920000</v>
      </c>
      <c r="F694" s="35">
        <f>SUM(J694:J694)</f>
        <v>10000000</v>
      </c>
      <c r="G694" s="58">
        <f>F694-D694</f>
        <v>5000000</v>
      </c>
      <c r="H694" s="13" t="s">
        <v>247</v>
      </c>
      <c r="I694" s="14"/>
      <c r="J694" s="42">
        <v>10000000</v>
      </c>
      <c r="K694" s="58"/>
      <c r="M694" s="36"/>
    </row>
    <row r="695" spans="1:13" ht="15.75" customHeight="1">
      <c r="A695" s="7"/>
      <c r="B695" s="7"/>
      <c r="C695" s="6" t="s">
        <v>82</v>
      </c>
      <c r="D695" s="37">
        <v>10000000</v>
      </c>
      <c r="E695" s="37">
        <v>5500000</v>
      </c>
      <c r="F695" s="37">
        <f>J695</f>
        <v>0</v>
      </c>
      <c r="G695" s="58">
        <f>F695-D695</f>
        <v>-10000000</v>
      </c>
      <c r="H695" s="8"/>
      <c r="I695" s="9"/>
      <c r="J695" s="40"/>
      <c r="K695" s="58"/>
      <c r="M695" s="36"/>
    </row>
    <row r="696" spans="1:13" ht="15.75" customHeight="1">
      <c r="A696" s="7"/>
      <c r="B696" s="6"/>
      <c r="C696" s="6" t="s">
        <v>85</v>
      </c>
      <c r="D696" s="37">
        <v>1000000</v>
      </c>
      <c r="E696" s="37">
        <v>0</v>
      </c>
      <c r="F696" s="37">
        <f>SUM(J696)</f>
        <v>5000000</v>
      </c>
      <c r="G696" s="58">
        <f>F696-D696</f>
        <v>4000000</v>
      </c>
      <c r="H696" s="8" t="s">
        <v>86</v>
      </c>
      <c r="I696" s="9"/>
      <c r="J696" s="40">
        <v>5000000</v>
      </c>
      <c r="K696" s="58"/>
      <c r="M696" s="36"/>
    </row>
    <row r="697" spans="1:13" ht="15.75" customHeight="1">
      <c r="A697" s="7"/>
      <c r="B697" s="7" t="s">
        <v>157</v>
      </c>
      <c r="C697" s="6"/>
      <c r="D697" s="37">
        <f>SUM(D698:D703)</f>
        <v>0</v>
      </c>
      <c r="E697" s="37">
        <v>0</v>
      </c>
      <c r="F697" s="37">
        <f>SUM(F698:F703)</f>
        <v>6000000</v>
      </c>
      <c r="G697" s="37">
        <f>SUM(G698:G703)</f>
        <v>6000000</v>
      </c>
      <c r="H697" s="8"/>
      <c r="I697" s="9"/>
      <c r="J697" s="40"/>
      <c r="K697" s="37"/>
      <c r="M697" s="36"/>
    </row>
    <row r="698" spans="1:13" ht="15.75" customHeight="1">
      <c r="A698" s="7"/>
      <c r="B698" s="7" t="s">
        <v>154</v>
      </c>
      <c r="C698" s="6" t="s">
        <v>58</v>
      </c>
      <c r="D698" s="37">
        <v>0</v>
      </c>
      <c r="E698" s="37">
        <v>0</v>
      </c>
      <c r="F698" s="37">
        <f>J698</f>
        <v>1000000</v>
      </c>
      <c r="G698" s="56">
        <f>F698-D698</f>
        <v>1000000</v>
      </c>
      <c r="H698" s="8" t="s">
        <v>59</v>
      </c>
      <c r="I698" s="9" t="s">
        <v>711</v>
      </c>
      <c r="J698" s="40">
        <f>50000*5*4</f>
        <v>1000000</v>
      </c>
      <c r="K698" s="56"/>
      <c r="M698" s="36"/>
    </row>
    <row r="699" spans="1:13" ht="15.75" customHeight="1">
      <c r="A699" s="7"/>
      <c r="B699" s="7"/>
      <c r="C699" s="6" t="s">
        <v>63</v>
      </c>
      <c r="D699" s="37">
        <v>0</v>
      </c>
      <c r="E699" s="37">
        <v>0</v>
      </c>
      <c r="F699" s="37">
        <f>J699</f>
        <v>1000000</v>
      </c>
      <c r="G699" s="56">
        <f>F699-D699</f>
        <v>1000000</v>
      </c>
      <c r="H699" s="8" t="s">
        <v>64</v>
      </c>
      <c r="I699" s="9"/>
      <c r="J699" s="40">
        <v>1000000</v>
      </c>
      <c r="K699" s="56"/>
      <c r="M699" s="36"/>
    </row>
    <row r="700" spans="1:13" ht="15.75" customHeight="1">
      <c r="A700" s="7"/>
      <c r="B700" s="7"/>
      <c r="C700" s="7" t="s">
        <v>712</v>
      </c>
      <c r="D700" s="25">
        <v>0</v>
      </c>
      <c r="E700" s="25">
        <v>0</v>
      </c>
      <c r="F700" s="25">
        <f>SUM(J700:J701)</f>
        <v>2000000</v>
      </c>
      <c r="G700" s="59">
        <f>F700-D700</f>
        <v>2000000</v>
      </c>
      <c r="H700" s="10" t="s">
        <v>60</v>
      </c>
      <c r="I700" s="11"/>
      <c r="J700" s="41">
        <v>1000000</v>
      </c>
      <c r="K700" s="59"/>
      <c r="M700" s="36"/>
    </row>
    <row r="701" spans="1:13" ht="15.75" customHeight="1">
      <c r="A701" s="7"/>
      <c r="B701" s="7"/>
      <c r="C701" s="6"/>
      <c r="D701" s="37"/>
      <c r="E701" s="37"/>
      <c r="F701" s="37"/>
      <c r="G701" s="56"/>
      <c r="H701" s="8" t="s">
        <v>713</v>
      </c>
      <c r="I701" s="9"/>
      <c r="J701" s="40">
        <v>1000000</v>
      </c>
      <c r="K701" s="56"/>
      <c r="M701" s="36"/>
    </row>
    <row r="702" spans="1:13" ht="15.75" customHeight="1">
      <c r="A702" s="7"/>
      <c r="B702" s="7"/>
      <c r="C702" s="6" t="s">
        <v>61</v>
      </c>
      <c r="D702" s="37">
        <v>0</v>
      </c>
      <c r="E702" s="37">
        <v>0</v>
      </c>
      <c r="F702" s="37">
        <f>SUM(J702)</f>
        <v>1000000</v>
      </c>
      <c r="G702" s="56">
        <f>F702-D702</f>
        <v>1000000</v>
      </c>
      <c r="H702" s="8" t="s">
        <v>498</v>
      </c>
      <c r="I702" s="9"/>
      <c r="J702" s="40">
        <v>1000000</v>
      </c>
      <c r="K702" s="56"/>
      <c r="M702" s="36"/>
    </row>
    <row r="703" spans="1:13" ht="15.75" customHeight="1">
      <c r="A703" s="6"/>
      <c r="B703" s="6"/>
      <c r="C703" s="6" t="s">
        <v>85</v>
      </c>
      <c r="D703" s="37">
        <v>0</v>
      </c>
      <c r="E703" s="37">
        <v>0</v>
      </c>
      <c r="F703" s="37">
        <f>SUM(J703)</f>
        <v>1000000</v>
      </c>
      <c r="G703" s="56">
        <f>F703-D703</f>
        <v>1000000</v>
      </c>
      <c r="H703" s="8" t="s">
        <v>86</v>
      </c>
      <c r="I703" s="9"/>
      <c r="J703" s="40">
        <v>1000000</v>
      </c>
      <c r="K703" s="56"/>
      <c r="M703" s="36"/>
    </row>
    <row r="704" spans="1:13" ht="18" customHeight="1">
      <c r="A704" s="7" t="s">
        <v>182</v>
      </c>
      <c r="B704" s="6"/>
      <c r="C704" s="6"/>
      <c r="D704" s="37">
        <v>0</v>
      </c>
      <c r="E704" s="37">
        <v>0</v>
      </c>
      <c r="F704" s="35" t="e">
        <f>SUM(F705:F706)</f>
        <v>#REF!</v>
      </c>
      <c r="G704" s="37" t="e">
        <f t="shared" ref="G704:G711" si="23">F704-D704</f>
        <v>#REF!</v>
      </c>
      <c r="H704" s="8"/>
      <c r="I704" s="9"/>
      <c r="J704" s="40"/>
      <c r="K704" s="37"/>
      <c r="M704" s="36"/>
    </row>
    <row r="705" spans="1:13" ht="18" customHeight="1">
      <c r="A705" s="7"/>
      <c r="B705" s="7" t="s">
        <v>183</v>
      </c>
      <c r="C705" s="18" t="s">
        <v>184</v>
      </c>
      <c r="D705" s="53">
        <v>0</v>
      </c>
      <c r="E705" s="53">
        <v>0</v>
      </c>
      <c r="F705" s="53" t="e">
        <f>SUM(#REF!)</f>
        <v>#REF!</v>
      </c>
      <c r="G705" s="53" t="e">
        <f t="shared" si="23"/>
        <v>#REF!</v>
      </c>
      <c r="H705" s="13"/>
      <c r="I705" s="14"/>
      <c r="K705" s="53"/>
      <c r="M705" s="36"/>
    </row>
    <row r="706" spans="1:13" ht="18" customHeight="1">
      <c r="A706" s="6"/>
      <c r="B706" s="6"/>
      <c r="C706" s="12" t="s">
        <v>185</v>
      </c>
      <c r="D706" s="35">
        <v>0</v>
      </c>
      <c r="E706" s="35">
        <v>0</v>
      </c>
      <c r="F706" s="35">
        <f>SUM(J706:J706)</f>
        <v>0</v>
      </c>
      <c r="G706" s="35">
        <f t="shared" si="23"/>
        <v>0</v>
      </c>
      <c r="H706" s="8"/>
      <c r="I706" s="9"/>
      <c r="J706" s="42"/>
      <c r="K706" s="35"/>
      <c r="M706" s="36"/>
    </row>
    <row r="707" spans="1:13" ht="18" customHeight="1">
      <c r="A707" s="6" t="s">
        <v>266</v>
      </c>
      <c r="B707" s="6"/>
      <c r="C707" s="6"/>
      <c r="D707" s="35">
        <v>31000000</v>
      </c>
      <c r="E707" s="35">
        <v>256000000</v>
      </c>
      <c r="F707" s="35">
        <f>J707</f>
        <v>0</v>
      </c>
      <c r="G707" s="57">
        <f t="shared" si="23"/>
        <v>-31000000</v>
      </c>
      <c r="H707" s="8"/>
      <c r="I707" s="9"/>
      <c r="J707" s="40"/>
      <c r="K707" s="57"/>
      <c r="M707" s="36"/>
    </row>
    <row r="708" spans="1:13" ht="18" customHeight="1">
      <c r="A708" s="6" t="s">
        <v>85</v>
      </c>
      <c r="B708" s="6"/>
      <c r="C708" s="6"/>
      <c r="D708" s="35">
        <v>38821972</v>
      </c>
      <c r="E708" s="35">
        <v>8013828</v>
      </c>
      <c r="F708" s="35">
        <f>SUM(F709)</f>
        <v>10000000</v>
      </c>
      <c r="G708" s="58">
        <f t="shared" si="23"/>
        <v>-28821972</v>
      </c>
      <c r="H708" s="8"/>
      <c r="I708" s="9"/>
      <c r="J708" s="40"/>
      <c r="K708" s="58"/>
      <c r="M708" s="36"/>
    </row>
    <row r="709" spans="1:13" ht="18" customHeight="1">
      <c r="A709" s="6"/>
      <c r="B709" s="6" t="s">
        <v>85</v>
      </c>
      <c r="C709" s="6"/>
      <c r="D709" s="37">
        <v>38821972</v>
      </c>
      <c r="E709" s="37">
        <v>8013828</v>
      </c>
      <c r="F709" s="37">
        <f>SUM(J709)</f>
        <v>10000000</v>
      </c>
      <c r="G709" s="56">
        <f t="shared" si="23"/>
        <v>-28821972</v>
      </c>
      <c r="H709" s="8" t="s">
        <v>86</v>
      </c>
      <c r="I709" s="9"/>
      <c r="J709" s="40">
        <v>10000000</v>
      </c>
      <c r="K709" s="56"/>
      <c r="M709" s="36"/>
    </row>
    <row r="710" spans="1:13" ht="18" customHeight="1">
      <c r="A710" s="7" t="s">
        <v>805</v>
      </c>
      <c r="B710" s="7"/>
      <c r="C710" s="7"/>
      <c r="D710" s="25">
        <v>0</v>
      </c>
      <c r="E710" s="25">
        <v>38430000</v>
      </c>
      <c r="F710" s="25">
        <v>0</v>
      </c>
      <c r="G710" s="25">
        <v>0</v>
      </c>
      <c r="H710" s="10"/>
      <c r="I710" s="11"/>
      <c r="J710" s="41"/>
      <c r="K710" s="59"/>
      <c r="M710" s="36"/>
    </row>
    <row r="711" spans="1:13" ht="18" customHeight="1" thickBot="1">
      <c r="A711" s="18" t="s">
        <v>186</v>
      </c>
      <c r="B711" s="18" t="s">
        <v>187</v>
      </c>
      <c r="C711" s="18"/>
      <c r="D711" s="53">
        <v>22510445</v>
      </c>
      <c r="E711" s="53">
        <v>81200200</v>
      </c>
      <c r="F711" s="53">
        <f>SUM(J711)</f>
        <v>16616936</v>
      </c>
      <c r="G711" s="57">
        <f t="shared" si="23"/>
        <v>-5893509</v>
      </c>
      <c r="H711" s="15"/>
      <c r="I711" s="16"/>
      <c r="J711" s="43">
        <f>16625118-8182</f>
        <v>16616936</v>
      </c>
      <c r="K711" s="57"/>
      <c r="M711" s="36"/>
    </row>
    <row r="712" spans="1:13" ht="18" customHeight="1" thickBot="1">
      <c r="A712" s="32" t="s">
        <v>188</v>
      </c>
      <c r="B712" s="32"/>
      <c r="C712" s="32"/>
      <c r="D712" s="54">
        <v>1984330417</v>
      </c>
      <c r="E712" s="54">
        <f>E711+E708+E707+E704+E648+E445+E374+E361+E81+E5+E710</f>
        <v>2517186255</v>
      </c>
      <c r="F712" s="54" t="e">
        <f>F711+F708+F707+F704+F648+F445+F374+F361+F81+F5</f>
        <v>#REF!</v>
      </c>
      <c r="G712" s="60" t="e">
        <f>G711+G708+G707+G704+G648+G445+G374+G361+G81+G5</f>
        <v>#REF!</v>
      </c>
      <c r="H712" s="33"/>
      <c r="I712" s="34"/>
      <c r="J712" s="50"/>
      <c r="K712" s="60"/>
      <c r="M712" s="36"/>
    </row>
    <row r="713" spans="1:13" ht="13.5" customHeight="1">
      <c r="M713" s="36"/>
    </row>
    <row r="714" spans="1:13" ht="16.5" customHeight="1">
      <c r="M714" s="36"/>
    </row>
    <row r="715" spans="1:13" ht="16.5" customHeight="1">
      <c r="M715" s="36"/>
    </row>
    <row r="716" spans="1:13" ht="16.5" customHeight="1">
      <c r="M716" s="36"/>
    </row>
    <row r="717" spans="1:13" ht="16.5" customHeight="1">
      <c r="M717" s="36"/>
    </row>
    <row r="718" spans="1:13" ht="16.5" customHeight="1">
      <c r="M718" s="36"/>
    </row>
    <row r="719" spans="1:13" ht="16.5" customHeight="1">
      <c r="M719" s="36"/>
    </row>
    <row r="720" spans="1:13" ht="16.5" customHeight="1">
      <c r="M720" s="36"/>
    </row>
    <row r="721" spans="13:13" ht="16.5" customHeight="1">
      <c r="M721" s="36"/>
    </row>
    <row r="722" spans="13:13" ht="16.5" customHeight="1">
      <c r="M722" s="36"/>
    </row>
    <row r="723" spans="13:13" ht="16.5" customHeight="1">
      <c r="M723" s="36"/>
    </row>
    <row r="724" spans="13:13" ht="16.5" customHeight="1">
      <c r="M724" s="36"/>
    </row>
  </sheetData>
  <mergeCells count="10">
    <mergeCell ref="A1:K1"/>
    <mergeCell ref="K3:K4"/>
    <mergeCell ref="H450:I450"/>
    <mergeCell ref="H448:I448"/>
    <mergeCell ref="A3:C3"/>
    <mergeCell ref="H3:J4"/>
    <mergeCell ref="F3:F4"/>
    <mergeCell ref="D3:D4"/>
    <mergeCell ref="G3:G4"/>
    <mergeCell ref="E3:E4"/>
  </mergeCells>
  <phoneticPr fontId="2" type="noConversion"/>
  <printOptions horizontalCentered="1"/>
  <pageMargins left="0.19685039370078741" right="0.19685039370078741" top="0.78740157480314965" bottom="0.59055118110236227" header="0.39370078740157483" footer="0.39370078740157483"/>
  <pageSetup paperSize="9" scale="90" orientation="landscape" horizontalDpi="300" verticalDpi="300" r:id="rId1"/>
  <headerFooter alignWithMargins="0">
    <oddFooter>&amp;C&amp;P</oddFooter>
  </headerFooter>
  <ignoredErrors>
    <ignoredError sqref="F9 F25 G494 G374 F171 F166:F168 F284 F279:F280 F332:G333 F286:F287 F301:G302 G273 F361:F364 G365 F379 F460:F461 F556:F557 F447:F448 F476:G476 F484 J488:J489 F493:F494 F704 F436:F439 F536:F537 F544:F546 F553 F527 F564 F607:F612 F601 J504 F584:G584 G574 G610 F38:F46 F30 F17 F275:F277 F293:F296 G288:G297 F267 F96:F97 F101:F102 F103:G103 F116:G116 F158 F160:F164 F176 F198 F174 F183:F187 F189:F194 F200 F205 F226 F210 F212 F214:F218 F220:F222 F228:F235 F237 F239:F241 F243:F244 F246 F255:F259 F251 F253 F262:F263 F269 F271:F273 G328 F367:F368 F372 F375:F377 F381:F382 F388 F390:F392 F19:F23 F27:F28 F590:G590 G591:G599 F404:F407 F423:F424 F409:F414 F420 G425 G414 G82 G145 G361 F655:F656 F676 F679:F690 G697 F692:F696 G6 F72:G72 F76 E50 G129 F336" formula="1"/>
    <ignoredError sqref="F16 F29 F172 F288:F292 F649:F652 F380 F465:F467 D584 F12:F13 F591:F599 F691" formula="1" formulaRange="1"/>
    <ignoredError sqref="F37 F326:F328 F653 G649:G653 F337:F338 F463:F464 F554 F542 F581 F317 F321 F700 D697 D145 D72 D50 D51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542"/>
  <sheetViews>
    <sheetView showGridLines="0" showRuler="0" topLeftCell="A262" zoomScale="80" zoomScaleNormal="80" zoomScalePageLayoutView="80" workbookViewId="0">
      <selection activeCell="H15" sqref="H15"/>
    </sheetView>
  </sheetViews>
  <sheetFormatPr defaultRowHeight="16.5" customHeight="1"/>
  <cols>
    <col min="1" max="1" width="9.88671875" style="3" customWidth="1"/>
    <col min="2" max="2" width="18.33203125" style="3" customWidth="1"/>
    <col min="3" max="3" width="16.6640625" style="3" customWidth="1"/>
    <col min="4" max="4" width="15.109375" style="52" customWidth="1"/>
    <col min="5" max="5" width="14.77734375" style="52" customWidth="1"/>
    <col min="6" max="6" width="15.109375" style="52" customWidth="1"/>
    <col min="7" max="7" width="13.6640625" style="55" customWidth="1"/>
    <col min="8" max="8" width="26" style="4" customWidth="1"/>
    <col min="9" max="9" width="2.77734375" style="5" customWidth="1"/>
    <col min="10" max="10" width="14.77734375" style="52" customWidth="1"/>
    <col min="11" max="11" width="7.88671875" style="55" customWidth="1"/>
    <col min="12" max="12" width="8.88671875" style="2"/>
    <col min="13" max="13" width="13.21875" style="2" bestFit="1" customWidth="1"/>
    <col min="14" max="16384" width="8.88671875" style="2"/>
  </cols>
  <sheetData>
    <row r="1" spans="1:11" ht="28.5" customHeight="1">
      <c r="A1" s="366" t="s">
        <v>1143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</row>
    <row r="2" spans="1:11" ht="16.5" customHeight="1" thickBot="1">
      <c r="K2" s="39" t="s">
        <v>818</v>
      </c>
    </row>
    <row r="3" spans="1:11" s="246" customFormat="1" ht="19.5" customHeight="1">
      <c r="A3" s="424" t="s">
        <v>1</v>
      </c>
      <c r="B3" s="425"/>
      <c r="C3" s="426"/>
      <c r="D3" s="422" t="s">
        <v>816</v>
      </c>
      <c r="E3" s="422" t="s">
        <v>817</v>
      </c>
      <c r="F3" s="422" t="s">
        <v>816</v>
      </c>
      <c r="G3" s="427" t="s">
        <v>809</v>
      </c>
      <c r="H3" s="429" t="s">
        <v>3</v>
      </c>
      <c r="I3" s="430"/>
      <c r="J3" s="431"/>
      <c r="K3" s="435" t="s">
        <v>191</v>
      </c>
    </row>
    <row r="4" spans="1:11" s="246" customFormat="1" ht="19.5" customHeight="1" thickBot="1">
      <c r="A4" s="247" t="s">
        <v>4</v>
      </c>
      <c r="B4" s="248" t="s">
        <v>5</v>
      </c>
      <c r="C4" s="248" t="s">
        <v>6</v>
      </c>
      <c r="D4" s="423"/>
      <c r="E4" s="423"/>
      <c r="F4" s="423"/>
      <c r="G4" s="428"/>
      <c r="H4" s="432"/>
      <c r="I4" s="433"/>
      <c r="J4" s="434"/>
      <c r="K4" s="436"/>
    </row>
    <row r="5" spans="1:11" s="246" customFormat="1" ht="19.5" customHeight="1" thickBot="1">
      <c r="A5" s="249" t="s">
        <v>8</v>
      </c>
      <c r="B5" s="250" t="s">
        <v>970</v>
      </c>
      <c r="C5" s="250" t="s">
        <v>810</v>
      </c>
      <c r="D5" s="251">
        <f>D6+D9+D11+D12+D16+D19+D23+D28+D29+D31+D32+D39+D40+D41+D42+D49+D51+D53+D57+D26+D38</f>
        <v>1184500000</v>
      </c>
      <c r="E5" s="251">
        <f>E6+E9+E11+E12+E16+E19+E23+E28+E29+E31+E32+E39+E40+E41+E42+E49+E51+E53+E57+E26+E38</f>
        <v>1250042706</v>
      </c>
      <c r="F5" s="251">
        <f>F6+F9+F11+F12+F16+F19+F23+F28+F29+F31+F32+F39+F40+F41+F42+F49+F51+F53+F57+F26+F38</f>
        <v>1184500000</v>
      </c>
      <c r="G5" s="251">
        <f>G6+G9+G11+G12+G16+G19+G23+G28+G29+G31+G32+G39+G40+G41+G42+G49+G51+G53+G57+G26+G38</f>
        <v>65542706</v>
      </c>
      <c r="H5" s="252"/>
      <c r="I5" s="253"/>
      <c r="J5" s="254"/>
      <c r="K5" s="255"/>
    </row>
    <row r="6" spans="1:11" s="264" customFormat="1" ht="16.350000000000001" customHeight="1">
      <c r="A6" s="256"/>
      <c r="B6" s="257"/>
      <c r="C6" s="257" t="s">
        <v>971</v>
      </c>
      <c r="D6" s="258">
        <v>300000000</v>
      </c>
      <c r="E6" s="258">
        <f>333669950+2261950</f>
        <v>335931900</v>
      </c>
      <c r="F6" s="258">
        <v>300000000</v>
      </c>
      <c r="G6" s="259">
        <f>E6-D6</f>
        <v>35931900</v>
      </c>
      <c r="H6" s="260" t="s">
        <v>1144</v>
      </c>
      <c r="I6" s="261" t="s">
        <v>821</v>
      </c>
      <c r="J6" s="262">
        <v>172329000</v>
      </c>
      <c r="K6" s="263"/>
    </row>
    <row r="7" spans="1:11" s="264" customFormat="1" ht="16.350000000000001" customHeight="1">
      <c r="A7" s="256"/>
      <c r="B7" s="257"/>
      <c r="C7" s="257"/>
      <c r="D7" s="258"/>
      <c r="E7" s="258"/>
      <c r="F7" s="258"/>
      <c r="G7" s="259"/>
      <c r="H7" s="260" t="s">
        <v>972</v>
      </c>
      <c r="I7" s="261" t="s">
        <v>821</v>
      </c>
      <c r="J7" s="262">
        <f>125013990-6424120+2261950</f>
        <v>120851820</v>
      </c>
      <c r="K7" s="263"/>
    </row>
    <row r="8" spans="1:11" s="264" customFormat="1" ht="16.350000000000001" customHeight="1">
      <c r="A8" s="256"/>
      <c r="B8" s="257"/>
      <c r="C8" s="265"/>
      <c r="D8" s="266"/>
      <c r="E8" s="266"/>
      <c r="F8" s="266"/>
      <c r="G8" s="267"/>
      <c r="H8" s="268" t="s">
        <v>973</v>
      </c>
      <c r="I8" s="269" t="s">
        <v>821</v>
      </c>
      <c r="J8" s="270">
        <v>42751080</v>
      </c>
      <c r="K8" s="263"/>
    </row>
    <row r="9" spans="1:11" s="264" customFormat="1" ht="16.350000000000001" customHeight="1">
      <c r="A9" s="256"/>
      <c r="B9" s="257"/>
      <c r="C9" s="271" t="s">
        <v>974</v>
      </c>
      <c r="D9" s="272">
        <v>120000000</v>
      </c>
      <c r="E9" s="272">
        <v>120850000</v>
      </c>
      <c r="F9" s="272">
        <v>120000000</v>
      </c>
      <c r="G9" s="273">
        <f>E9-D9</f>
        <v>850000</v>
      </c>
      <c r="H9" s="274" t="s">
        <v>975</v>
      </c>
      <c r="I9" s="275" t="s">
        <v>821</v>
      </c>
      <c r="J9" s="276">
        <v>33250000</v>
      </c>
      <c r="K9" s="263"/>
    </row>
    <row r="10" spans="1:11" s="264" customFormat="1" ht="16.350000000000001" customHeight="1">
      <c r="A10" s="256"/>
      <c r="B10" s="257"/>
      <c r="C10" s="265"/>
      <c r="D10" s="266"/>
      <c r="E10" s="266"/>
      <c r="F10" s="266"/>
      <c r="G10" s="277"/>
      <c r="H10" s="268" t="s">
        <v>976</v>
      </c>
      <c r="I10" s="269" t="s">
        <v>821</v>
      </c>
      <c r="J10" s="270">
        <f>114194220-26594220</f>
        <v>87600000</v>
      </c>
      <c r="K10" s="263"/>
    </row>
    <row r="11" spans="1:11" s="264" customFormat="1" ht="16.350000000000001" customHeight="1">
      <c r="A11" s="256"/>
      <c r="B11" s="257"/>
      <c r="C11" s="278" t="s">
        <v>977</v>
      </c>
      <c r="D11" s="279">
        <v>33500000</v>
      </c>
      <c r="E11" s="279">
        <v>34162856</v>
      </c>
      <c r="F11" s="279">
        <v>33500000</v>
      </c>
      <c r="G11" s="273">
        <f>E11-D11</f>
        <v>662856</v>
      </c>
      <c r="H11" s="280" t="s">
        <v>1145</v>
      </c>
      <c r="I11" s="281" t="s">
        <v>821</v>
      </c>
      <c r="J11" s="282">
        <v>34162856</v>
      </c>
      <c r="K11" s="263"/>
    </row>
    <row r="12" spans="1:11" s="264" customFormat="1" ht="16.350000000000001" customHeight="1">
      <c r="A12" s="256"/>
      <c r="B12" s="257"/>
      <c r="C12" s="257" t="s">
        <v>978</v>
      </c>
      <c r="D12" s="258">
        <v>30000000</v>
      </c>
      <c r="E12" s="258">
        <v>29412660</v>
      </c>
      <c r="F12" s="258">
        <v>30000000</v>
      </c>
      <c r="G12" s="273">
        <f>E12-D12</f>
        <v>-587340</v>
      </c>
      <c r="H12" s="260" t="s">
        <v>730</v>
      </c>
      <c r="I12" s="275" t="s">
        <v>821</v>
      </c>
      <c r="J12" s="262">
        <v>12280520</v>
      </c>
      <c r="K12" s="263"/>
    </row>
    <row r="13" spans="1:11" s="264" customFormat="1" ht="16.350000000000001" customHeight="1">
      <c r="A13" s="256"/>
      <c r="B13" s="257"/>
      <c r="C13" s="257"/>
      <c r="D13" s="258"/>
      <c r="E13" s="258"/>
      <c r="F13" s="258"/>
      <c r="G13" s="283"/>
      <c r="H13" s="260" t="s">
        <v>979</v>
      </c>
      <c r="I13" s="261" t="s">
        <v>821</v>
      </c>
      <c r="J13" s="262">
        <f>9819800</f>
        <v>9819800</v>
      </c>
      <c r="K13" s="263"/>
    </row>
    <row r="14" spans="1:11" s="264" customFormat="1" ht="16.350000000000001" customHeight="1">
      <c r="A14" s="256"/>
      <c r="B14" s="257"/>
      <c r="C14" s="257"/>
      <c r="D14" s="258"/>
      <c r="E14" s="258"/>
      <c r="F14" s="258"/>
      <c r="G14" s="283"/>
      <c r="H14" s="260" t="s">
        <v>980</v>
      </c>
      <c r="I14" s="261" t="s">
        <v>821</v>
      </c>
      <c r="J14" s="262">
        <v>3433490</v>
      </c>
      <c r="K14" s="263"/>
    </row>
    <row r="15" spans="1:11" s="264" customFormat="1" ht="16.350000000000001" customHeight="1">
      <c r="A15" s="256"/>
      <c r="B15" s="257"/>
      <c r="C15" s="257"/>
      <c r="D15" s="258"/>
      <c r="E15" s="258"/>
      <c r="F15" s="258"/>
      <c r="G15" s="283"/>
      <c r="H15" s="260" t="s">
        <v>981</v>
      </c>
      <c r="I15" s="269" t="s">
        <v>821</v>
      </c>
      <c r="J15" s="262">
        <f>6083840-2204990</f>
        <v>3878850</v>
      </c>
      <c r="K15" s="263"/>
    </row>
    <row r="16" spans="1:11" s="264" customFormat="1" ht="16.350000000000001" customHeight="1">
      <c r="A16" s="256"/>
      <c r="B16" s="257"/>
      <c r="C16" s="271" t="s">
        <v>982</v>
      </c>
      <c r="D16" s="272">
        <v>75000000</v>
      </c>
      <c r="E16" s="272">
        <f>103000140-3438000</f>
        <v>99562140</v>
      </c>
      <c r="F16" s="272">
        <v>75000000</v>
      </c>
      <c r="G16" s="273">
        <f>E16-D16</f>
        <v>24562140</v>
      </c>
      <c r="H16" s="274" t="s">
        <v>983</v>
      </c>
      <c r="I16" s="261" t="s">
        <v>821</v>
      </c>
      <c r="J16" s="276">
        <v>52132983</v>
      </c>
      <c r="K16" s="263"/>
    </row>
    <row r="17" spans="1:11" s="264" customFormat="1" ht="16.350000000000001" customHeight="1">
      <c r="A17" s="256"/>
      <c r="B17" s="257"/>
      <c r="C17" s="257"/>
      <c r="D17" s="258"/>
      <c r="E17" s="258"/>
      <c r="F17" s="258"/>
      <c r="G17" s="283"/>
      <c r="H17" s="260" t="s">
        <v>984</v>
      </c>
      <c r="I17" s="261" t="s">
        <v>821</v>
      </c>
      <c r="J17" s="262">
        <v>16515060</v>
      </c>
      <c r="K17" s="263"/>
    </row>
    <row r="18" spans="1:11" s="264" customFormat="1" ht="16.350000000000001" customHeight="1">
      <c r="A18" s="256"/>
      <c r="B18" s="257"/>
      <c r="C18" s="257"/>
      <c r="D18" s="258"/>
      <c r="E18" s="258"/>
      <c r="F18" s="258"/>
      <c r="G18" s="283"/>
      <c r="H18" s="260" t="s">
        <v>985</v>
      </c>
      <c r="I18" s="284" t="s">
        <v>821</v>
      </c>
      <c r="J18" s="262">
        <f>31040797-126700</f>
        <v>30914097</v>
      </c>
      <c r="K18" s="263"/>
    </row>
    <row r="19" spans="1:11" s="264" customFormat="1" ht="16.350000000000001" customHeight="1">
      <c r="A19" s="256"/>
      <c r="B19" s="257"/>
      <c r="C19" s="271" t="s">
        <v>13</v>
      </c>
      <c r="D19" s="272">
        <v>16000000</v>
      </c>
      <c r="E19" s="272">
        <v>21512418</v>
      </c>
      <c r="F19" s="272">
        <v>16000000</v>
      </c>
      <c r="G19" s="273">
        <f>E19-D19</f>
        <v>5512418</v>
      </c>
      <c r="H19" s="274" t="s">
        <v>986</v>
      </c>
      <c r="I19" s="275" t="s">
        <v>821</v>
      </c>
      <c r="J19" s="276">
        <v>2779700</v>
      </c>
      <c r="K19" s="263"/>
    </row>
    <row r="20" spans="1:11" s="264" customFormat="1" ht="16.350000000000001" customHeight="1">
      <c r="A20" s="256"/>
      <c r="B20" s="257"/>
      <c r="C20" s="257"/>
      <c r="D20" s="258"/>
      <c r="E20" s="258"/>
      <c r="F20" s="258"/>
      <c r="G20" s="259"/>
      <c r="H20" s="260" t="s">
        <v>987</v>
      </c>
      <c r="I20" s="261" t="s">
        <v>821</v>
      </c>
      <c r="J20" s="262">
        <v>148700</v>
      </c>
      <c r="K20" s="263"/>
    </row>
    <row r="21" spans="1:11" s="264" customFormat="1" ht="16.350000000000001" customHeight="1">
      <c r="A21" s="256"/>
      <c r="B21" s="257"/>
      <c r="C21" s="257"/>
      <c r="D21" s="258"/>
      <c r="E21" s="258"/>
      <c r="F21" s="258"/>
      <c r="G21" s="259"/>
      <c r="H21" s="260" t="s">
        <v>988</v>
      </c>
      <c r="I21" s="261" t="s">
        <v>821</v>
      </c>
      <c r="J21" s="262">
        <f>13398637+362870</f>
        <v>13761507</v>
      </c>
      <c r="K21" s="263"/>
    </row>
    <row r="22" spans="1:11" s="264" customFormat="1" ht="16.350000000000001" customHeight="1">
      <c r="A22" s="256"/>
      <c r="B22" s="257"/>
      <c r="C22" s="257"/>
      <c r="D22" s="258"/>
      <c r="E22" s="258"/>
      <c r="F22" s="258"/>
      <c r="G22" s="259"/>
      <c r="H22" s="268" t="s">
        <v>989</v>
      </c>
      <c r="I22" s="269" t="s">
        <v>821</v>
      </c>
      <c r="J22" s="270">
        <v>4822511</v>
      </c>
      <c r="K22" s="263"/>
    </row>
    <row r="23" spans="1:11" s="264" customFormat="1" ht="16.350000000000001" customHeight="1">
      <c r="A23" s="256"/>
      <c r="B23" s="257"/>
      <c r="C23" s="271" t="s">
        <v>44</v>
      </c>
      <c r="D23" s="272">
        <v>50000000</v>
      </c>
      <c r="E23" s="272">
        <v>69349690</v>
      </c>
      <c r="F23" s="272">
        <v>50000000</v>
      </c>
      <c r="G23" s="273">
        <f>E23-D23</f>
        <v>19349690</v>
      </c>
      <c r="H23" s="260" t="s">
        <v>990</v>
      </c>
      <c r="I23" s="261" t="s">
        <v>821</v>
      </c>
      <c r="J23" s="262">
        <f>35400000</f>
        <v>35400000</v>
      </c>
      <c r="K23" s="263"/>
    </row>
    <row r="24" spans="1:11" s="264" customFormat="1" ht="16.350000000000001" customHeight="1">
      <c r="A24" s="256"/>
      <c r="B24" s="257"/>
      <c r="C24" s="257"/>
      <c r="D24" s="258"/>
      <c r="E24" s="258"/>
      <c r="F24" s="258"/>
      <c r="G24" s="259"/>
      <c r="H24" s="260" t="s">
        <v>991</v>
      </c>
      <c r="I24" s="261" t="s">
        <v>821</v>
      </c>
      <c r="J24" s="262">
        <v>23210000</v>
      </c>
      <c r="K24" s="263"/>
    </row>
    <row r="25" spans="1:11" s="264" customFormat="1" ht="16.350000000000001" customHeight="1">
      <c r="A25" s="256"/>
      <c r="B25" s="257"/>
      <c r="C25" s="257"/>
      <c r="D25" s="258"/>
      <c r="E25" s="258"/>
      <c r="F25" s="258"/>
      <c r="G25" s="259"/>
      <c r="H25" s="268" t="s">
        <v>992</v>
      </c>
      <c r="I25" s="269" t="s">
        <v>821</v>
      </c>
      <c r="J25" s="270">
        <v>10739690</v>
      </c>
      <c r="K25" s="263"/>
    </row>
    <row r="26" spans="1:11" s="264" customFormat="1" ht="16.350000000000001" customHeight="1">
      <c r="A26" s="256"/>
      <c r="B26" s="257"/>
      <c r="C26" s="271" t="s">
        <v>46</v>
      </c>
      <c r="D26" s="272">
        <v>100000000</v>
      </c>
      <c r="E26" s="272">
        <v>81011006</v>
      </c>
      <c r="F26" s="272">
        <v>100000000</v>
      </c>
      <c r="G26" s="273">
        <f>E26-D26</f>
        <v>-18988994</v>
      </c>
      <c r="H26" s="285" t="s">
        <v>993</v>
      </c>
      <c r="I26" s="261" t="s">
        <v>821</v>
      </c>
      <c r="J26" s="262">
        <v>50449006</v>
      </c>
      <c r="K26" s="263"/>
    </row>
    <row r="27" spans="1:11" s="264" customFormat="1" ht="16.350000000000001" customHeight="1">
      <c r="A27" s="256"/>
      <c r="B27" s="257"/>
      <c r="C27" s="265"/>
      <c r="D27" s="266"/>
      <c r="E27" s="266"/>
      <c r="F27" s="266"/>
      <c r="G27" s="259"/>
      <c r="H27" s="286" t="s">
        <v>222</v>
      </c>
      <c r="I27" s="261" t="s">
        <v>821</v>
      </c>
      <c r="J27" s="270">
        <f>30150000+412000</f>
        <v>30562000</v>
      </c>
      <c r="K27" s="263"/>
    </row>
    <row r="28" spans="1:11" s="264" customFormat="1" ht="16.350000000000001" customHeight="1">
      <c r="A28" s="256"/>
      <c r="B28" s="257"/>
      <c r="C28" s="278" t="s">
        <v>32</v>
      </c>
      <c r="D28" s="279">
        <v>18000000</v>
      </c>
      <c r="E28" s="279">
        <v>25266000</v>
      </c>
      <c r="F28" s="279">
        <v>18000000</v>
      </c>
      <c r="G28" s="273">
        <f>E28-D28</f>
        <v>7266000</v>
      </c>
      <c r="H28" s="287" t="s">
        <v>994</v>
      </c>
      <c r="I28" s="281" t="s">
        <v>821</v>
      </c>
      <c r="J28" s="282">
        <v>25266000</v>
      </c>
      <c r="K28" s="263"/>
    </row>
    <row r="29" spans="1:11" s="264" customFormat="1" ht="16.350000000000001" customHeight="1">
      <c r="A29" s="256"/>
      <c r="B29" s="257"/>
      <c r="C29" s="257" t="s">
        <v>16</v>
      </c>
      <c r="D29" s="258">
        <v>69000000</v>
      </c>
      <c r="E29" s="258">
        <v>26979000</v>
      </c>
      <c r="F29" s="258">
        <v>69000000</v>
      </c>
      <c r="G29" s="273">
        <f>E29-D29</f>
        <v>-42021000</v>
      </c>
      <c r="H29" s="260" t="s">
        <v>995</v>
      </c>
      <c r="I29" s="275" t="s">
        <v>821</v>
      </c>
      <c r="J29" s="262">
        <v>25000000</v>
      </c>
      <c r="K29" s="263"/>
    </row>
    <row r="30" spans="1:11" s="264" customFormat="1" ht="16.350000000000001" customHeight="1">
      <c r="A30" s="256"/>
      <c r="B30" s="257"/>
      <c r="C30" s="257"/>
      <c r="D30" s="258"/>
      <c r="E30" s="258"/>
      <c r="F30" s="258"/>
      <c r="G30" s="259"/>
      <c r="H30" s="260" t="s">
        <v>996</v>
      </c>
      <c r="I30" s="261" t="s">
        <v>821</v>
      </c>
      <c r="J30" s="262">
        <v>1979000</v>
      </c>
      <c r="K30" s="263"/>
    </row>
    <row r="31" spans="1:11" s="264" customFormat="1" ht="18" customHeight="1">
      <c r="A31" s="256"/>
      <c r="B31" s="257"/>
      <c r="C31" s="271" t="s">
        <v>9</v>
      </c>
      <c r="D31" s="272">
        <v>15000000</v>
      </c>
      <c r="E31" s="272">
        <v>23787422</v>
      </c>
      <c r="F31" s="272">
        <v>15000000</v>
      </c>
      <c r="G31" s="273">
        <f>E31-D31</f>
        <v>8787422</v>
      </c>
      <c r="H31" s="274"/>
      <c r="I31" s="281" t="s">
        <v>821</v>
      </c>
      <c r="J31" s="276">
        <v>23787422</v>
      </c>
      <c r="K31" s="263"/>
    </row>
    <row r="32" spans="1:11" s="264" customFormat="1" ht="18" customHeight="1">
      <c r="A32" s="256"/>
      <c r="B32" s="257"/>
      <c r="C32" s="271" t="s">
        <v>997</v>
      </c>
      <c r="D32" s="272">
        <v>80000000</v>
      </c>
      <c r="E32" s="272">
        <v>123411377</v>
      </c>
      <c r="F32" s="272">
        <v>80000000</v>
      </c>
      <c r="G32" s="273">
        <f>E32-D32</f>
        <v>43411377</v>
      </c>
      <c r="H32" s="274" t="s">
        <v>998</v>
      </c>
      <c r="I32" s="275" t="s">
        <v>821</v>
      </c>
      <c r="J32" s="276">
        <v>25952621</v>
      </c>
      <c r="K32" s="263"/>
    </row>
    <row r="33" spans="1:11" s="264" customFormat="1" ht="18" customHeight="1">
      <c r="A33" s="256"/>
      <c r="B33" s="257"/>
      <c r="C33" s="257"/>
      <c r="D33" s="258"/>
      <c r="E33" s="258"/>
      <c r="F33" s="258"/>
      <c r="G33" s="283"/>
      <c r="H33" s="260" t="s">
        <v>999</v>
      </c>
      <c r="I33" s="261" t="s">
        <v>821</v>
      </c>
      <c r="J33" s="262">
        <v>6000000</v>
      </c>
      <c r="K33" s="263"/>
    </row>
    <row r="34" spans="1:11" s="264" customFormat="1" ht="18" customHeight="1">
      <c r="A34" s="256"/>
      <c r="B34" s="257"/>
      <c r="C34" s="257"/>
      <c r="D34" s="258"/>
      <c r="E34" s="258"/>
      <c r="F34" s="258"/>
      <c r="G34" s="283"/>
      <c r="H34" s="260" t="s">
        <v>1000</v>
      </c>
      <c r="I34" s="261" t="s">
        <v>821</v>
      </c>
      <c r="J34" s="262">
        <v>3300000</v>
      </c>
      <c r="K34" s="263"/>
    </row>
    <row r="35" spans="1:11" s="264" customFormat="1" ht="18" customHeight="1">
      <c r="A35" s="256"/>
      <c r="B35" s="257"/>
      <c r="C35" s="257"/>
      <c r="D35" s="258"/>
      <c r="E35" s="258"/>
      <c r="F35" s="258"/>
      <c r="G35" s="283"/>
      <c r="H35" s="260" t="s">
        <v>1001</v>
      </c>
      <c r="I35" s="261" t="s">
        <v>821</v>
      </c>
      <c r="J35" s="262">
        <v>80850000</v>
      </c>
      <c r="K35" s="263"/>
    </row>
    <row r="36" spans="1:11" s="264" customFormat="1" ht="18" customHeight="1">
      <c r="A36" s="256"/>
      <c r="B36" s="257"/>
      <c r="C36" s="257"/>
      <c r="D36" s="258"/>
      <c r="E36" s="258"/>
      <c r="F36" s="258"/>
      <c r="G36" s="283"/>
      <c r="H36" s="260" t="s">
        <v>1002</v>
      </c>
      <c r="I36" s="261" t="s">
        <v>821</v>
      </c>
      <c r="J36" s="262">
        <v>720000</v>
      </c>
      <c r="K36" s="263"/>
    </row>
    <row r="37" spans="1:11" s="264" customFormat="1" ht="18" customHeight="1">
      <c r="A37" s="256"/>
      <c r="B37" s="257"/>
      <c r="C37" s="265"/>
      <c r="D37" s="266"/>
      <c r="E37" s="266"/>
      <c r="F37" s="266"/>
      <c r="G37" s="277"/>
      <c r="H37" s="268" t="s">
        <v>1003</v>
      </c>
      <c r="I37" s="269" t="s">
        <v>821</v>
      </c>
      <c r="J37" s="270">
        <v>6588756</v>
      </c>
      <c r="K37" s="263"/>
    </row>
    <row r="38" spans="1:11" s="264" customFormat="1" ht="18" customHeight="1">
      <c r="A38" s="256"/>
      <c r="B38" s="257"/>
      <c r="C38" s="257" t="s">
        <v>1004</v>
      </c>
      <c r="D38" s="258">
        <v>50000000</v>
      </c>
      <c r="E38" s="258">
        <v>17479310</v>
      </c>
      <c r="F38" s="258">
        <v>50000000</v>
      </c>
      <c r="G38" s="273">
        <f>E38-D38</f>
        <v>-32520690</v>
      </c>
      <c r="H38" s="268" t="s">
        <v>1005</v>
      </c>
      <c r="I38" s="261" t="s">
        <v>821</v>
      </c>
      <c r="J38" s="270">
        <v>17479310</v>
      </c>
      <c r="K38" s="263"/>
    </row>
    <row r="39" spans="1:11" s="264" customFormat="1" ht="17.25" customHeight="1">
      <c r="A39" s="256"/>
      <c r="B39" s="257"/>
      <c r="C39" s="278" t="s">
        <v>1006</v>
      </c>
      <c r="D39" s="279">
        <v>2400000</v>
      </c>
      <c r="E39" s="279">
        <v>2400000</v>
      </c>
      <c r="F39" s="279">
        <v>2400000</v>
      </c>
      <c r="G39" s="288">
        <f>E39-D39</f>
        <v>0</v>
      </c>
      <c r="H39" s="280" t="s">
        <v>1007</v>
      </c>
      <c r="I39" s="281" t="s">
        <v>821</v>
      </c>
      <c r="J39" s="282">
        <v>2400000</v>
      </c>
      <c r="K39" s="263"/>
    </row>
    <row r="40" spans="1:11" s="264" customFormat="1" ht="17.25" customHeight="1">
      <c r="A40" s="256"/>
      <c r="B40" s="257"/>
      <c r="C40" s="257" t="s">
        <v>1008</v>
      </c>
      <c r="D40" s="258">
        <v>1100000</v>
      </c>
      <c r="E40" s="258">
        <v>4928400</v>
      </c>
      <c r="F40" s="258">
        <v>1100000</v>
      </c>
      <c r="G40" s="273">
        <f>E40-D40</f>
        <v>3828400</v>
      </c>
      <c r="H40" s="260" t="s">
        <v>1009</v>
      </c>
      <c r="I40" s="275" t="s">
        <v>821</v>
      </c>
      <c r="J40" s="262">
        <v>4928400</v>
      </c>
      <c r="K40" s="263"/>
    </row>
    <row r="41" spans="1:11" s="264" customFormat="1" ht="17.25" customHeight="1">
      <c r="A41" s="256"/>
      <c r="B41" s="257"/>
      <c r="C41" s="271" t="s">
        <v>820</v>
      </c>
      <c r="D41" s="272">
        <v>90000000</v>
      </c>
      <c r="E41" s="272">
        <v>95441018</v>
      </c>
      <c r="F41" s="272">
        <v>90000000</v>
      </c>
      <c r="G41" s="273">
        <f>E41-D41</f>
        <v>5441018</v>
      </c>
      <c r="H41" s="280" t="s">
        <v>1010</v>
      </c>
      <c r="I41" s="281" t="s">
        <v>821</v>
      </c>
      <c r="J41" s="282">
        <v>95941018</v>
      </c>
      <c r="K41" s="263"/>
    </row>
    <row r="42" spans="1:11" s="264" customFormat="1" ht="17.25" customHeight="1">
      <c r="A42" s="256"/>
      <c r="B42" s="257"/>
      <c r="C42" s="271" t="s">
        <v>729</v>
      </c>
      <c r="D42" s="272">
        <v>130000000</v>
      </c>
      <c r="E42" s="272">
        <v>133984540</v>
      </c>
      <c r="F42" s="272">
        <v>130000000</v>
      </c>
      <c r="G42" s="273">
        <f>E42-D42</f>
        <v>3984540</v>
      </c>
      <c r="H42" s="274" t="s">
        <v>1011</v>
      </c>
      <c r="I42" s="275" t="s">
        <v>821</v>
      </c>
      <c r="J42" s="276">
        <v>29500000</v>
      </c>
      <c r="K42" s="263"/>
    </row>
    <row r="43" spans="1:11" s="264" customFormat="1" ht="17.25" customHeight="1">
      <c r="A43" s="256"/>
      <c r="B43" s="257"/>
      <c r="C43" s="257"/>
      <c r="D43" s="258"/>
      <c r="E43" s="258"/>
      <c r="F43" s="258"/>
      <c r="G43" s="283"/>
      <c r="H43" s="260" t="s">
        <v>1012</v>
      </c>
      <c r="I43" s="261" t="s">
        <v>821</v>
      </c>
      <c r="J43" s="262">
        <v>37463800</v>
      </c>
      <c r="K43" s="263"/>
    </row>
    <row r="44" spans="1:11" s="264" customFormat="1" ht="17.25" customHeight="1">
      <c r="A44" s="256"/>
      <c r="B44" s="257"/>
      <c r="C44" s="257"/>
      <c r="D44" s="258"/>
      <c r="E44" s="258"/>
      <c r="F44" s="258"/>
      <c r="G44" s="283"/>
      <c r="H44" s="260" t="s">
        <v>1013</v>
      </c>
      <c r="I44" s="261" t="s">
        <v>821</v>
      </c>
      <c r="J44" s="262">
        <v>18300000</v>
      </c>
      <c r="K44" s="263"/>
    </row>
    <row r="45" spans="1:11" s="264" customFormat="1" ht="18" customHeight="1">
      <c r="A45" s="256"/>
      <c r="B45" s="257"/>
      <c r="C45" s="257"/>
      <c r="D45" s="258"/>
      <c r="E45" s="258"/>
      <c r="F45" s="258"/>
      <c r="G45" s="283"/>
      <c r="H45" s="260" t="s">
        <v>1014</v>
      </c>
      <c r="I45" s="261" t="s">
        <v>821</v>
      </c>
      <c r="J45" s="262">
        <v>3884990</v>
      </c>
      <c r="K45" s="263"/>
    </row>
    <row r="46" spans="1:11" s="264" customFormat="1" ht="16.350000000000001" customHeight="1">
      <c r="A46" s="256"/>
      <c r="B46" s="257"/>
      <c r="C46" s="257"/>
      <c r="D46" s="258"/>
      <c r="E46" s="258"/>
      <c r="F46" s="258"/>
      <c r="G46" s="283"/>
      <c r="H46" s="260" t="s">
        <v>1015</v>
      </c>
      <c r="I46" s="261" t="s">
        <v>821</v>
      </c>
      <c r="J46" s="262">
        <v>2000000</v>
      </c>
      <c r="K46" s="263"/>
    </row>
    <row r="47" spans="1:11" s="264" customFormat="1" ht="16.350000000000001" customHeight="1">
      <c r="A47" s="256"/>
      <c r="B47" s="257"/>
      <c r="C47" s="257"/>
      <c r="D47" s="258"/>
      <c r="E47" s="258"/>
      <c r="F47" s="258"/>
      <c r="G47" s="283"/>
      <c r="H47" s="260" t="s">
        <v>1016</v>
      </c>
      <c r="I47" s="261" t="s">
        <v>821</v>
      </c>
      <c r="J47" s="262">
        <v>35866712</v>
      </c>
      <c r="K47" s="263"/>
    </row>
    <row r="48" spans="1:11" s="264" customFormat="1" ht="16.350000000000001" customHeight="1">
      <c r="A48" s="256"/>
      <c r="B48" s="257"/>
      <c r="C48" s="257"/>
      <c r="D48" s="258"/>
      <c r="E48" s="258"/>
      <c r="F48" s="258"/>
      <c r="G48" s="283"/>
      <c r="H48" s="260" t="s">
        <v>964</v>
      </c>
      <c r="I48" s="269" t="s">
        <v>821</v>
      </c>
      <c r="J48" s="262">
        <f>6978038-9000</f>
        <v>6969038</v>
      </c>
      <c r="K48" s="263"/>
    </row>
    <row r="49" spans="1:11" s="264" customFormat="1" ht="16.350000000000001" customHeight="1">
      <c r="A49" s="256"/>
      <c r="B49" s="257"/>
      <c r="C49" s="271" t="s">
        <v>1017</v>
      </c>
      <c r="D49" s="272">
        <v>500000</v>
      </c>
      <c r="E49" s="272">
        <v>708960</v>
      </c>
      <c r="F49" s="272">
        <v>500000</v>
      </c>
      <c r="G49" s="273">
        <f>E49-D49</f>
        <v>208960</v>
      </c>
      <c r="H49" s="274" t="s">
        <v>1018</v>
      </c>
      <c r="I49" s="275" t="s">
        <v>821</v>
      </c>
      <c r="J49" s="276">
        <f>197140+197140</f>
        <v>394280</v>
      </c>
      <c r="K49" s="263"/>
    </row>
    <row r="50" spans="1:11" s="264" customFormat="1" ht="16.350000000000001" customHeight="1">
      <c r="A50" s="256"/>
      <c r="B50" s="257"/>
      <c r="C50" s="265"/>
      <c r="D50" s="266"/>
      <c r="E50" s="266"/>
      <c r="F50" s="266"/>
      <c r="G50" s="277"/>
      <c r="H50" s="268" t="s">
        <v>1019</v>
      </c>
      <c r="I50" s="269" t="s">
        <v>821</v>
      </c>
      <c r="J50" s="270">
        <v>314680</v>
      </c>
      <c r="K50" s="263"/>
    </row>
    <row r="51" spans="1:11" s="264" customFormat="1" ht="16.350000000000001" customHeight="1">
      <c r="A51" s="256"/>
      <c r="B51" s="257"/>
      <c r="C51" s="271" t="s">
        <v>192</v>
      </c>
      <c r="D51" s="272">
        <v>3500000</v>
      </c>
      <c r="E51" s="272">
        <v>3438000</v>
      </c>
      <c r="F51" s="272">
        <v>3500000</v>
      </c>
      <c r="G51" s="273">
        <f>E51-D51</f>
        <v>-62000</v>
      </c>
      <c r="H51" s="274" t="s">
        <v>1018</v>
      </c>
      <c r="I51" s="261" t="s">
        <v>821</v>
      </c>
      <c r="J51" s="276">
        <v>2538000</v>
      </c>
      <c r="K51" s="263"/>
    </row>
    <row r="52" spans="1:11" s="264" customFormat="1" ht="16.350000000000001" customHeight="1">
      <c r="A52" s="256"/>
      <c r="B52" s="257"/>
      <c r="C52" s="265"/>
      <c r="D52" s="266"/>
      <c r="E52" s="266"/>
      <c r="F52" s="266"/>
      <c r="G52" s="277"/>
      <c r="H52" s="268" t="s">
        <v>1020</v>
      </c>
      <c r="I52" s="261" t="s">
        <v>821</v>
      </c>
      <c r="J52" s="270">
        <v>900000</v>
      </c>
      <c r="K52" s="263"/>
    </row>
    <row r="53" spans="1:11" s="264" customFormat="1" ht="16.350000000000001" customHeight="1">
      <c r="A53" s="256"/>
      <c r="B53" s="257"/>
      <c r="C53" s="257" t="s">
        <v>1021</v>
      </c>
      <c r="D53" s="258">
        <v>500000</v>
      </c>
      <c r="E53" s="258">
        <v>426009</v>
      </c>
      <c r="F53" s="258">
        <v>500000</v>
      </c>
      <c r="G53" s="273">
        <f>E53-D53</f>
        <v>-73991</v>
      </c>
      <c r="H53" s="274" t="s">
        <v>1018</v>
      </c>
      <c r="I53" s="275" t="s">
        <v>821</v>
      </c>
      <c r="J53" s="262">
        <v>405062</v>
      </c>
      <c r="K53" s="263"/>
    </row>
    <row r="54" spans="1:11" s="264" customFormat="1" ht="16.350000000000001" customHeight="1">
      <c r="A54" s="256"/>
      <c r="B54" s="257"/>
      <c r="C54" s="257"/>
      <c r="D54" s="258"/>
      <c r="E54" s="258"/>
      <c r="F54" s="258"/>
      <c r="G54" s="283"/>
      <c r="H54" s="260" t="s">
        <v>1020</v>
      </c>
      <c r="I54" s="261" t="s">
        <v>821</v>
      </c>
      <c r="J54" s="262">
        <v>-107830</v>
      </c>
      <c r="K54" s="263"/>
    </row>
    <row r="55" spans="1:11" s="264" customFormat="1" ht="16.350000000000001" customHeight="1">
      <c r="A55" s="256"/>
      <c r="B55" s="257"/>
      <c r="C55" s="257"/>
      <c r="D55" s="258"/>
      <c r="E55" s="258"/>
      <c r="F55" s="258"/>
      <c r="G55" s="283"/>
      <c r="H55" s="260" t="s">
        <v>1022</v>
      </c>
      <c r="I55" s="261" t="s">
        <v>821</v>
      </c>
      <c r="J55" s="262">
        <v>97519</v>
      </c>
      <c r="K55" s="263"/>
    </row>
    <row r="56" spans="1:11" s="264" customFormat="1" ht="16.350000000000001" customHeight="1">
      <c r="A56" s="256"/>
      <c r="B56" s="257"/>
      <c r="C56" s="265"/>
      <c r="D56" s="266"/>
      <c r="E56" s="266"/>
      <c r="F56" s="266"/>
      <c r="G56" s="277"/>
      <c r="H56" s="268" t="s">
        <v>1023</v>
      </c>
      <c r="I56" s="269" t="s">
        <v>821</v>
      </c>
      <c r="J56" s="270">
        <v>31258</v>
      </c>
      <c r="K56" s="263"/>
    </row>
    <row r="57" spans="1:11" s="264" customFormat="1" ht="16.350000000000001" customHeight="1" thickBot="1">
      <c r="A57" s="256"/>
      <c r="B57" s="257"/>
      <c r="C57" s="257" t="s">
        <v>1024</v>
      </c>
      <c r="D57" s="258">
        <v>0</v>
      </c>
      <c r="E57" s="258">
        <v>0</v>
      </c>
      <c r="F57" s="258">
        <v>0</v>
      </c>
      <c r="G57" s="288">
        <f>E57-D57</f>
        <v>0</v>
      </c>
      <c r="H57" s="260" t="s">
        <v>136</v>
      </c>
      <c r="I57" s="269" t="s">
        <v>821</v>
      </c>
      <c r="J57" s="262">
        <v>0</v>
      </c>
      <c r="K57" s="263"/>
    </row>
    <row r="58" spans="1:11" s="246" customFormat="1" ht="17.25" customHeight="1" thickBot="1">
      <c r="A58" s="289" t="s">
        <v>51</v>
      </c>
      <c r="B58" s="250" t="s">
        <v>814</v>
      </c>
      <c r="C58" s="250" t="s">
        <v>811</v>
      </c>
      <c r="D58" s="290">
        <f>D59+D69+D79+D89+D100+D111+D119+D131+D142+D154+D166</f>
        <v>1763176800</v>
      </c>
      <c r="E58" s="290">
        <f>E59+E69+E79+E89+E100+E111+E119+E131+E142+E154+E166</f>
        <v>1553752471</v>
      </c>
      <c r="F58" s="290">
        <f>F59+F69+F79+F89+F100+F111+F119+F131+F142+F154+F166</f>
        <v>1763176800</v>
      </c>
      <c r="G58" s="290">
        <f>G59+G69+G79+G89+G100+G111+G119+G131+G142+G154+G166</f>
        <v>-209424329</v>
      </c>
      <c r="H58" s="291"/>
      <c r="I58" s="253"/>
      <c r="J58" s="254"/>
      <c r="K58" s="292"/>
    </row>
    <row r="59" spans="1:11" s="264" customFormat="1" ht="17.25" customHeight="1">
      <c r="A59" s="256"/>
      <c r="B59" s="293" t="s">
        <v>1025</v>
      </c>
      <c r="C59" s="293" t="s">
        <v>136</v>
      </c>
      <c r="D59" s="258">
        <v>40185000</v>
      </c>
      <c r="E59" s="258">
        <v>26150000</v>
      </c>
      <c r="F59" s="258">
        <v>40185000</v>
      </c>
      <c r="G59" s="259">
        <f>E59-D59</f>
        <v>-14035000</v>
      </c>
      <c r="H59" s="294"/>
      <c r="I59" s="284"/>
      <c r="J59" s="262"/>
      <c r="K59" s="263"/>
    </row>
    <row r="60" spans="1:11" s="264" customFormat="1" ht="17.25" customHeight="1">
      <c r="A60" s="256"/>
      <c r="B60" s="293"/>
      <c r="C60" s="293" t="s">
        <v>58</v>
      </c>
      <c r="D60" s="258"/>
      <c r="E60" s="258"/>
      <c r="F60" s="258"/>
      <c r="G60" s="259"/>
      <c r="H60" s="295" t="s">
        <v>58</v>
      </c>
      <c r="I60" s="261" t="s">
        <v>821</v>
      </c>
      <c r="J60" s="262">
        <v>350000</v>
      </c>
      <c r="K60" s="263"/>
    </row>
    <row r="61" spans="1:11" s="264" customFormat="1" ht="17.25" customHeight="1">
      <c r="A61" s="256"/>
      <c r="B61" s="293"/>
      <c r="C61" s="293" t="s">
        <v>993</v>
      </c>
      <c r="D61" s="258"/>
      <c r="E61" s="258"/>
      <c r="F61" s="258"/>
      <c r="G61" s="259"/>
      <c r="H61" s="295" t="s">
        <v>993</v>
      </c>
      <c r="I61" s="261" t="s">
        <v>821</v>
      </c>
      <c r="J61" s="262">
        <v>541000</v>
      </c>
      <c r="K61" s="263"/>
    </row>
    <row r="62" spans="1:11" s="264" customFormat="1" ht="17.25" customHeight="1">
      <c r="A62" s="256"/>
      <c r="B62" s="293"/>
      <c r="C62" s="293" t="s">
        <v>1026</v>
      </c>
      <c r="D62" s="258"/>
      <c r="E62" s="258"/>
      <c r="F62" s="258"/>
      <c r="G62" s="259"/>
      <c r="H62" s="295" t="s">
        <v>1026</v>
      </c>
      <c r="I62" s="261" t="s">
        <v>821</v>
      </c>
      <c r="J62" s="262">
        <v>15580000</v>
      </c>
      <c r="K62" s="263"/>
    </row>
    <row r="63" spans="1:11" s="264" customFormat="1" ht="17.25" customHeight="1">
      <c r="A63" s="256"/>
      <c r="B63" s="293"/>
      <c r="C63" s="293" t="s">
        <v>222</v>
      </c>
      <c r="D63" s="258"/>
      <c r="E63" s="258"/>
      <c r="F63" s="258"/>
      <c r="G63" s="259"/>
      <c r="H63" s="295" t="s">
        <v>222</v>
      </c>
      <c r="I63" s="261" t="s">
        <v>821</v>
      </c>
      <c r="J63" s="262">
        <v>950000</v>
      </c>
      <c r="K63" s="263"/>
    </row>
    <row r="64" spans="1:11" s="264" customFormat="1" ht="17.25" customHeight="1">
      <c r="A64" s="256"/>
      <c r="B64" s="293"/>
      <c r="C64" s="293" t="s">
        <v>16</v>
      </c>
      <c r="D64" s="258"/>
      <c r="E64" s="258"/>
      <c r="F64" s="258"/>
      <c r="G64" s="259"/>
      <c r="H64" s="295" t="s">
        <v>16</v>
      </c>
      <c r="I64" s="261" t="s">
        <v>821</v>
      </c>
      <c r="J64" s="262">
        <v>2170000</v>
      </c>
      <c r="K64" s="263"/>
    </row>
    <row r="65" spans="1:11" s="264" customFormat="1" ht="17.25" customHeight="1">
      <c r="A65" s="256"/>
      <c r="B65" s="293"/>
      <c r="C65" s="293" t="s">
        <v>35</v>
      </c>
      <c r="D65" s="258"/>
      <c r="E65" s="258"/>
      <c r="F65" s="258"/>
      <c r="G65" s="259"/>
      <c r="H65" s="295" t="s">
        <v>35</v>
      </c>
      <c r="I65" s="261" t="s">
        <v>821</v>
      </c>
      <c r="J65" s="262">
        <v>550000</v>
      </c>
      <c r="K65" s="263"/>
    </row>
    <row r="66" spans="1:11" s="264" customFormat="1" ht="17.25" customHeight="1">
      <c r="A66" s="256"/>
      <c r="B66" s="293"/>
      <c r="C66" s="293" t="s">
        <v>71</v>
      </c>
      <c r="D66" s="258"/>
      <c r="E66" s="258"/>
      <c r="F66" s="258"/>
      <c r="G66" s="259"/>
      <c r="H66" s="295" t="s">
        <v>71</v>
      </c>
      <c r="I66" s="261" t="s">
        <v>821</v>
      </c>
      <c r="J66" s="262">
        <v>2816000</v>
      </c>
      <c r="K66" s="263"/>
    </row>
    <row r="67" spans="1:11" s="264" customFormat="1" ht="17.25" customHeight="1">
      <c r="A67" s="256"/>
      <c r="B67" s="257"/>
      <c r="C67" s="293" t="s">
        <v>1027</v>
      </c>
      <c r="D67" s="258"/>
      <c r="E67" s="258"/>
      <c r="F67" s="258"/>
      <c r="G67" s="259"/>
      <c r="H67" s="295" t="s">
        <v>1028</v>
      </c>
      <c r="I67" s="261" t="s">
        <v>821</v>
      </c>
      <c r="J67" s="262">
        <v>3193000</v>
      </c>
      <c r="K67" s="263"/>
    </row>
    <row r="68" spans="1:11" s="264" customFormat="1" ht="17.25" customHeight="1">
      <c r="A68" s="256"/>
      <c r="B68" s="296"/>
      <c r="C68" s="296"/>
      <c r="D68" s="266"/>
      <c r="E68" s="266"/>
      <c r="F68" s="266"/>
      <c r="G68" s="267"/>
      <c r="H68" s="297"/>
      <c r="I68" s="298"/>
      <c r="J68" s="270"/>
      <c r="K68" s="263"/>
    </row>
    <row r="69" spans="1:11" s="264" customFormat="1" ht="17.25" customHeight="1">
      <c r="A69" s="256"/>
      <c r="B69" s="293" t="s">
        <v>1029</v>
      </c>
      <c r="C69" s="293"/>
      <c r="D69" s="258">
        <v>31850000</v>
      </c>
      <c r="E69" s="258">
        <v>20397030</v>
      </c>
      <c r="F69" s="258">
        <v>31850000</v>
      </c>
      <c r="G69" s="259">
        <f>E69-D69</f>
        <v>-11452970</v>
      </c>
      <c r="H69" s="295"/>
      <c r="I69" s="299"/>
      <c r="J69" s="262"/>
      <c r="K69" s="263"/>
    </row>
    <row r="70" spans="1:11" s="264" customFormat="1" ht="17.25" customHeight="1">
      <c r="A70" s="256"/>
      <c r="B70" s="293"/>
      <c r="C70" s="293" t="s">
        <v>58</v>
      </c>
      <c r="D70" s="258"/>
      <c r="E70" s="258"/>
      <c r="F70" s="258"/>
      <c r="G70" s="259"/>
      <c r="H70" s="295" t="s">
        <v>58</v>
      </c>
      <c r="I70" s="261" t="s">
        <v>821</v>
      </c>
      <c r="J70" s="262">
        <f>4520000-1500000</f>
        <v>3020000</v>
      </c>
      <c r="K70" s="263"/>
    </row>
    <row r="71" spans="1:11" s="264" customFormat="1" ht="17.25" customHeight="1">
      <c r="A71" s="256"/>
      <c r="B71" s="293"/>
      <c r="C71" s="293" t="s">
        <v>993</v>
      </c>
      <c r="D71" s="258"/>
      <c r="E71" s="258"/>
      <c r="F71" s="258"/>
      <c r="G71" s="259"/>
      <c r="H71" s="295" t="s">
        <v>993</v>
      </c>
      <c r="I71" s="261" t="s">
        <v>821</v>
      </c>
      <c r="J71" s="262">
        <v>2398000</v>
      </c>
      <c r="K71" s="263"/>
    </row>
    <row r="72" spans="1:11" s="264" customFormat="1" ht="17.25" customHeight="1">
      <c r="A72" s="256"/>
      <c r="B72" s="293"/>
      <c r="C72" s="293" t="s">
        <v>1026</v>
      </c>
      <c r="D72" s="258"/>
      <c r="E72" s="258"/>
      <c r="F72" s="258"/>
      <c r="G72" s="259"/>
      <c r="H72" s="295" t="s">
        <v>1026</v>
      </c>
      <c r="I72" s="261" t="s">
        <v>821</v>
      </c>
      <c r="J72" s="262">
        <f>4200000-1500000</f>
        <v>2700000</v>
      </c>
      <c r="K72" s="263"/>
    </row>
    <row r="73" spans="1:11" s="264" customFormat="1" ht="17.25" customHeight="1">
      <c r="A73" s="256"/>
      <c r="B73" s="293"/>
      <c r="C73" s="293" t="s">
        <v>222</v>
      </c>
      <c r="D73" s="258"/>
      <c r="E73" s="258"/>
      <c r="F73" s="258"/>
      <c r="G73" s="259"/>
      <c r="H73" s="295" t="s">
        <v>222</v>
      </c>
      <c r="I73" s="261" t="s">
        <v>821</v>
      </c>
      <c r="J73" s="262">
        <v>1600000</v>
      </c>
      <c r="K73" s="263"/>
    </row>
    <row r="74" spans="1:11" s="264" customFormat="1" ht="17.25" customHeight="1">
      <c r="A74" s="256"/>
      <c r="B74" s="293"/>
      <c r="C74" s="293" t="s">
        <v>16</v>
      </c>
      <c r="D74" s="258"/>
      <c r="E74" s="258"/>
      <c r="F74" s="258"/>
      <c r="G74" s="259"/>
      <c r="H74" s="295" t="s">
        <v>16</v>
      </c>
      <c r="I74" s="261" t="s">
        <v>821</v>
      </c>
      <c r="J74" s="262">
        <f>2290000-500000</f>
        <v>1790000</v>
      </c>
      <c r="K74" s="263"/>
    </row>
    <row r="75" spans="1:11" s="264" customFormat="1" ht="17.25" customHeight="1">
      <c r="A75" s="256"/>
      <c r="B75" s="293"/>
      <c r="C75" s="293" t="s">
        <v>1030</v>
      </c>
      <c r="D75" s="258"/>
      <c r="E75" s="258"/>
      <c r="F75" s="258"/>
      <c r="G75" s="259"/>
      <c r="H75" s="295" t="s">
        <v>1030</v>
      </c>
      <c r="I75" s="261" t="s">
        <v>821</v>
      </c>
      <c r="J75" s="262">
        <f>8420000-4000000</f>
        <v>4420000</v>
      </c>
      <c r="K75" s="263"/>
    </row>
    <row r="76" spans="1:11" s="264" customFormat="1" ht="17.25" customHeight="1">
      <c r="A76" s="256"/>
      <c r="B76" s="293"/>
      <c r="C76" s="293" t="s">
        <v>71</v>
      </c>
      <c r="D76" s="258"/>
      <c r="E76" s="258"/>
      <c r="F76" s="258"/>
      <c r="G76" s="259"/>
      <c r="H76" s="295" t="s">
        <v>71</v>
      </c>
      <c r="I76" s="261" t="s">
        <v>821</v>
      </c>
      <c r="J76" s="262">
        <f>4492000-2000000</f>
        <v>2492000</v>
      </c>
      <c r="K76" s="263"/>
    </row>
    <row r="77" spans="1:11" s="264" customFormat="1" ht="17.25" customHeight="1">
      <c r="A77" s="256"/>
      <c r="B77" s="293"/>
      <c r="C77" s="293" t="s">
        <v>1028</v>
      </c>
      <c r="D77" s="258"/>
      <c r="E77" s="258"/>
      <c r="F77" s="258"/>
      <c r="G77" s="259"/>
      <c r="H77" s="295" t="s">
        <v>1028</v>
      </c>
      <c r="I77" s="261" t="s">
        <v>821</v>
      </c>
      <c r="J77" s="262">
        <f>3117000-1139970</f>
        <v>1977030</v>
      </c>
      <c r="K77" s="263"/>
    </row>
    <row r="78" spans="1:11" s="264" customFormat="1" ht="17.25" customHeight="1">
      <c r="A78" s="256"/>
      <c r="B78" s="296"/>
      <c r="C78" s="296"/>
      <c r="D78" s="266"/>
      <c r="E78" s="266"/>
      <c r="F78" s="266"/>
      <c r="G78" s="277"/>
      <c r="H78" s="300"/>
      <c r="I78" s="301"/>
      <c r="J78" s="270" t="s">
        <v>136</v>
      </c>
      <c r="K78" s="263"/>
    </row>
    <row r="79" spans="1:11" s="264" customFormat="1" ht="17.25" customHeight="1">
      <c r="A79" s="256"/>
      <c r="B79" s="293" t="s">
        <v>936</v>
      </c>
      <c r="C79" s="293"/>
      <c r="D79" s="258">
        <v>145330400</v>
      </c>
      <c r="E79" s="258">
        <f>118587000-69815400</f>
        <v>48771600</v>
      </c>
      <c r="F79" s="258">
        <v>145330400</v>
      </c>
      <c r="G79" s="259">
        <f>E79-D79</f>
        <v>-96558800</v>
      </c>
      <c r="H79" s="295"/>
      <c r="I79" s="299"/>
      <c r="J79" s="262"/>
      <c r="K79" s="263"/>
    </row>
    <row r="80" spans="1:11" s="264" customFormat="1" ht="17.25" customHeight="1">
      <c r="A80" s="256"/>
      <c r="B80" s="293"/>
      <c r="C80" s="293" t="s">
        <v>58</v>
      </c>
      <c r="D80" s="258"/>
      <c r="E80" s="258"/>
      <c r="F80" s="258"/>
      <c r="G80" s="259"/>
      <c r="H80" s="295" t="s">
        <v>58</v>
      </c>
      <c r="I80" s="261" t="s">
        <v>821</v>
      </c>
      <c r="J80" s="262">
        <f>34844500-16000000</f>
        <v>18844500</v>
      </c>
      <c r="K80" s="263"/>
    </row>
    <row r="81" spans="1:11" s="264" customFormat="1" ht="17.25" customHeight="1">
      <c r="A81" s="256"/>
      <c r="B81" s="293"/>
      <c r="C81" s="293" t="s">
        <v>993</v>
      </c>
      <c r="D81" s="258"/>
      <c r="E81" s="258"/>
      <c r="F81" s="258"/>
      <c r="G81" s="259"/>
      <c r="H81" s="295" t="s">
        <v>993</v>
      </c>
      <c r="I81" s="261" t="s">
        <v>821</v>
      </c>
      <c r="J81" s="262">
        <f>30192500-16000000+1302550</f>
        <v>15495050</v>
      </c>
      <c r="K81" s="263"/>
    </row>
    <row r="82" spans="1:11" s="264" customFormat="1" ht="17.25" customHeight="1">
      <c r="A82" s="256"/>
      <c r="B82" s="293"/>
      <c r="C82" s="293" t="s">
        <v>1026</v>
      </c>
      <c r="D82" s="258"/>
      <c r="E82" s="258"/>
      <c r="F82" s="258"/>
      <c r="G82" s="259"/>
      <c r="H82" s="295" t="s">
        <v>1026</v>
      </c>
      <c r="I82" s="261" t="s">
        <v>821</v>
      </c>
      <c r="J82" s="262">
        <f>3949000+3800000</f>
        <v>7749000</v>
      </c>
      <c r="K82" s="263"/>
    </row>
    <row r="83" spans="1:11" s="264" customFormat="1" ht="17.25" customHeight="1">
      <c r="A83" s="256"/>
      <c r="B83" s="293"/>
      <c r="C83" s="293" t="s">
        <v>222</v>
      </c>
      <c r="D83" s="258"/>
      <c r="E83" s="258"/>
      <c r="F83" s="258"/>
      <c r="G83" s="259"/>
      <c r="H83" s="295" t="s">
        <v>222</v>
      </c>
      <c r="I83" s="261" t="s">
        <v>821</v>
      </c>
      <c r="J83" s="262">
        <v>1960000</v>
      </c>
      <c r="K83" s="263"/>
    </row>
    <row r="84" spans="1:11" s="264" customFormat="1" ht="17.25" customHeight="1">
      <c r="A84" s="256"/>
      <c r="B84" s="293"/>
      <c r="C84" s="293" t="s">
        <v>1031</v>
      </c>
      <c r="D84" s="258"/>
      <c r="E84" s="258"/>
      <c r="F84" s="258"/>
      <c r="G84" s="259"/>
      <c r="H84" s="295" t="s">
        <v>1031</v>
      </c>
      <c r="I84" s="261" t="s">
        <v>821</v>
      </c>
      <c r="J84" s="262">
        <v>910000</v>
      </c>
      <c r="K84" s="263"/>
    </row>
    <row r="85" spans="1:11" s="264" customFormat="1" ht="17.25" customHeight="1">
      <c r="A85" s="256"/>
      <c r="B85" s="293"/>
      <c r="C85" s="293" t="s">
        <v>35</v>
      </c>
      <c r="D85" s="258"/>
      <c r="E85" s="258"/>
      <c r="F85" s="258"/>
      <c r="G85" s="259"/>
      <c r="H85" s="295" t="s">
        <v>35</v>
      </c>
      <c r="I85" s="261" t="s">
        <v>821</v>
      </c>
      <c r="J85" s="262">
        <v>475300</v>
      </c>
      <c r="K85" s="263"/>
    </row>
    <row r="86" spans="1:11" s="264" customFormat="1" ht="17.25" customHeight="1">
      <c r="A86" s="256"/>
      <c r="B86" s="293"/>
      <c r="C86" s="293" t="s">
        <v>36</v>
      </c>
      <c r="D86" s="258"/>
      <c r="E86" s="258"/>
      <c r="F86" s="258"/>
      <c r="G86" s="259"/>
      <c r="H86" s="295" t="s">
        <v>36</v>
      </c>
      <c r="I86" s="261" t="s">
        <v>821</v>
      </c>
      <c r="J86" s="262">
        <v>1800000</v>
      </c>
      <c r="K86" s="263"/>
    </row>
    <row r="87" spans="1:11" s="264" customFormat="1" ht="17.25" customHeight="1">
      <c r="A87" s="256"/>
      <c r="B87" s="293"/>
      <c r="C87" s="293" t="s">
        <v>1027</v>
      </c>
      <c r="D87" s="258"/>
      <c r="E87" s="258"/>
      <c r="F87" s="258"/>
      <c r="G87" s="259"/>
      <c r="H87" s="295" t="s">
        <v>1027</v>
      </c>
      <c r="I87" s="261" t="s">
        <v>821</v>
      </c>
      <c r="J87" s="262">
        <v>1537750</v>
      </c>
      <c r="K87" s="263"/>
    </row>
    <row r="88" spans="1:11" s="264" customFormat="1" ht="17.25" customHeight="1">
      <c r="A88" s="256"/>
      <c r="B88" s="265"/>
      <c r="C88" s="265"/>
      <c r="D88" s="266"/>
      <c r="E88" s="266"/>
      <c r="F88" s="266"/>
      <c r="G88" s="277"/>
      <c r="H88" s="302"/>
      <c r="I88" s="301"/>
      <c r="J88" s="270"/>
      <c r="K88" s="263"/>
    </row>
    <row r="89" spans="1:11" s="264" customFormat="1" ht="17.25" customHeight="1">
      <c r="A89" s="256"/>
      <c r="B89" s="257" t="s">
        <v>1032</v>
      </c>
      <c r="C89" s="293"/>
      <c r="D89" s="258">
        <v>104340000</v>
      </c>
      <c r="E89" s="258">
        <v>99281165</v>
      </c>
      <c r="F89" s="258">
        <v>104340000</v>
      </c>
      <c r="G89" s="259">
        <f>E89-D89</f>
        <v>-5058835</v>
      </c>
      <c r="H89" s="295"/>
      <c r="I89" s="299"/>
      <c r="J89" s="262"/>
      <c r="K89" s="263"/>
    </row>
    <row r="90" spans="1:11" s="264" customFormat="1" ht="17.25" customHeight="1">
      <c r="A90" s="256"/>
      <c r="B90" s="257"/>
      <c r="C90" s="293" t="s">
        <v>58</v>
      </c>
      <c r="D90" s="258"/>
      <c r="E90" s="258"/>
      <c r="F90" s="258"/>
      <c r="G90" s="259"/>
      <c r="H90" s="295" t="s">
        <v>58</v>
      </c>
      <c r="I90" s="261" t="s">
        <v>821</v>
      </c>
      <c r="J90" s="262">
        <v>2079000</v>
      </c>
      <c r="K90" s="263"/>
    </row>
    <row r="91" spans="1:11" s="264" customFormat="1" ht="17.25" customHeight="1">
      <c r="A91" s="256"/>
      <c r="B91" s="257"/>
      <c r="C91" s="293" t="s">
        <v>993</v>
      </c>
      <c r="D91" s="258"/>
      <c r="E91" s="258"/>
      <c r="F91" s="258"/>
      <c r="G91" s="259"/>
      <c r="H91" s="295" t="s">
        <v>993</v>
      </c>
      <c r="I91" s="261" t="s">
        <v>821</v>
      </c>
      <c r="J91" s="262">
        <v>2402450</v>
      </c>
      <c r="K91" s="263"/>
    </row>
    <row r="92" spans="1:11" s="264" customFormat="1" ht="17.25" customHeight="1">
      <c r="A92" s="256"/>
      <c r="B92" s="257"/>
      <c r="C92" s="293" t="s">
        <v>222</v>
      </c>
      <c r="D92" s="258"/>
      <c r="E92" s="258"/>
      <c r="F92" s="258"/>
      <c r="G92" s="259"/>
      <c r="H92" s="295" t="s">
        <v>222</v>
      </c>
      <c r="I92" s="261" t="s">
        <v>821</v>
      </c>
      <c r="J92" s="262">
        <v>2516000</v>
      </c>
      <c r="K92" s="263"/>
    </row>
    <row r="93" spans="1:11" s="264" customFormat="1" ht="17.25" customHeight="1">
      <c r="A93" s="256"/>
      <c r="B93" s="257"/>
      <c r="C93" s="293" t="s">
        <v>35</v>
      </c>
      <c r="D93" s="258"/>
      <c r="E93" s="258"/>
      <c r="F93" s="258"/>
      <c r="G93" s="259"/>
      <c r="H93" s="295" t="s">
        <v>35</v>
      </c>
      <c r="I93" s="261" t="s">
        <v>821</v>
      </c>
      <c r="J93" s="262">
        <v>3800000</v>
      </c>
      <c r="K93" s="263"/>
    </row>
    <row r="94" spans="1:11" s="264" customFormat="1" ht="17.25" customHeight="1">
      <c r="A94" s="256"/>
      <c r="B94" s="257"/>
      <c r="C94" s="293" t="s">
        <v>16</v>
      </c>
      <c r="D94" s="258"/>
      <c r="E94" s="258"/>
      <c r="F94" s="258"/>
      <c r="G94" s="259"/>
      <c r="H94" s="295" t="s">
        <v>16</v>
      </c>
      <c r="I94" s="261" t="s">
        <v>821</v>
      </c>
      <c r="J94" s="262">
        <v>2519000</v>
      </c>
      <c r="K94" s="263"/>
    </row>
    <row r="95" spans="1:11" s="264" customFormat="1" ht="17.25" customHeight="1">
      <c r="A95" s="256"/>
      <c r="B95" s="257"/>
      <c r="C95" s="293" t="s">
        <v>1030</v>
      </c>
      <c r="D95" s="258"/>
      <c r="E95" s="258"/>
      <c r="F95" s="258"/>
      <c r="G95" s="259"/>
      <c r="H95" s="295" t="s">
        <v>1030</v>
      </c>
      <c r="I95" s="261" t="s">
        <v>821</v>
      </c>
      <c r="J95" s="262">
        <v>8980000</v>
      </c>
      <c r="K95" s="263"/>
    </row>
    <row r="96" spans="1:11" s="264" customFormat="1" ht="17.25" customHeight="1">
      <c r="A96" s="256"/>
      <c r="B96" s="257"/>
      <c r="C96" s="293" t="s">
        <v>71</v>
      </c>
      <c r="D96" s="258"/>
      <c r="E96" s="258"/>
      <c r="F96" s="258"/>
      <c r="G96" s="259"/>
      <c r="H96" s="295" t="s">
        <v>71</v>
      </c>
      <c r="I96" s="261" t="s">
        <v>821</v>
      </c>
      <c r="J96" s="262">
        <v>4800000</v>
      </c>
      <c r="K96" s="263"/>
    </row>
    <row r="97" spans="1:11" s="264" customFormat="1" ht="17.25" customHeight="1">
      <c r="A97" s="256"/>
      <c r="B97" s="257"/>
      <c r="C97" s="293" t="s">
        <v>46</v>
      </c>
      <c r="D97" s="258"/>
      <c r="E97" s="258"/>
      <c r="F97" s="258"/>
      <c r="G97" s="259"/>
      <c r="H97" s="295" t="s">
        <v>46</v>
      </c>
      <c r="I97" s="261" t="s">
        <v>821</v>
      </c>
      <c r="J97" s="262">
        <v>3349000</v>
      </c>
      <c r="K97" s="263"/>
    </row>
    <row r="98" spans="1:11" s="264" customFormat="1" ht="17.25" customHeight="1">
      <c r="A98" s="256"/>
      <c r="B98" s="257"/>
      <c r="C98" s="293" t="s">
        <v>1028</v>
      </c>
      <c r="D98" s="258"/>
      <c r="E98" s="258"/>
      <c r="F98" s="258"/>
      <c r="G98" s="259"/>
      <c r="H98" s="295" t="s">
        <v>1028</v>
      </c>
      <c r="I98" s="261" t="s">
        <v>821</v>
      </c>
      <c r="J98" s="262">
        <v>68835715</v>
      </c>
      <c r="K98" s="263"/>
    </row>
    <row r="99" spans="1:11" s="264" customFormat="1" ht="17.25" customHeight="1">
      <c r="A99" s="256"/>
      <c r="B99" s="265"/>
      <c r="C99" s="265"/>
      <c r="D99" s="266"/>
      <c r="E99" s="266"/>
      <c r="F99" s="266"/>
      <c r="G99" s="277"/>
      <c r="H99" s="302"/>
      <c r="I99" s="301"/>
      <c r="J99" s="270"/>
      <c r="K99" s="263"/>
    </row>
    <row r="100" spans="1:11" s="264" customFormat="1" ht="17.25" customHeight="1">
      <c r="A100" s="256"/>
      <c r="B100" s="257" t="s">
        <v>1033</v>
      </c>
      <c r="C100" s="293"/>
      <c r="D100" s="258">
        <v>36335000</v>
      </c>
      <c r="E100" s="258">
        <v>35937100</v>
      </c>
      <c r="F100" s="258">
        <v>36335000</v>
      </c>
      <c r="G100" s="259">
        <f>E100-D100</f>
        <v>-397900</v>
      </c>
      <c r="H100" s="295"/>
      <c r="I100" s="299"/>
      <c r="J100" s="262"/>
      <c r="K100" s="263"/>
    </row>
    <row r="101" spans="1:11" s="264" customFormat="1" ht="17.25" customHeight="1">
      <c r="A101" s="256"/>
      <c r="B101" s="257"/>
      <c r="C101" s="293" t="s">
        <v>148</v>
      </c>
      <c r="D101" s="258"/>
      <c r="E101" s="258"/>
      <c r="F101" s="258"/>
      <c r="G101" s="259"/>
      <c r="H101" s="295" t="s">
        <v>148</v>
      </c>
      <c r="I101" s="261" t="s">
        <v>821</v>
      </c>
      <c r="J101" s="262">
        <v>5921300</v>
      </c>
      <c r="K101" s="263"/>
    </row>
    <row r="102" spans="1:11" s="264" customFormat="1" ht="17.25" customHeight="1">
      <c r="A102" s="256"/>
      <c r="B102" s="257"/>
      <c r="C102" s="293" t="s">
        <v>13</v>
      </c>
      <c r="D102" s="258"/>
      <c r="E102" s="258"/>
      <c r="F102" s="258"/>
      <c r="G102" s="259"/>
      <c r="H102" s="295" t="s">
        <v>13</v>
      </c>
      <c r="I102" s="261" t="s">
        <v>821</v>
      </c>
      <c r="J102" s="262">
        <v>100000</v>
      </c>
      <c r="K102" s="263"/>
    </row>
    <row r="103" spans="1:11" s="264" customFormat="1" ht="17.25" customHeight="1">
      <c r="A103" s="256"/>
      <c r="B103" s="257"/>
      <c r="C103" s="293" t="s">
        <v>58</v>
      </c>
      <c r="D103" s="258"/>
      <c r="E103" s="258"/>
      <c r="F103" s="258"/>
      <c r="G103" s="259"/>
      <c r="H103" s="295" t="s">
        <v>58</v>
      </c>
      <c r="I103" s="261" t="s">
        <v>821</v>
      </c>
      <c r="J103" s="262">
        <v>7520000</v>
      </c>
      <c r="K103" s="263"/>
    </row>
    <row r="104" spans="1:11" s="264" customFormat="1" ht="17.25" customHeight="1">
      <c r="A104" s="256"/>
      <c r="B104" s="257"/>
      <c r="C104" s="293" t="s">
        <v>993</v>
      </c>
      <c r="D104" s="258"/>
      <c r="E104" s="258"/>
      <c r="F104" s="258"/>
      <c r="G104" s="259"/>
      <c r="H104" s="295" t="s">
        <v>993</v>
      </c>
      <c r="I104" s="261" t="s">
        <v>821</v>
      </c>
      <c r="J104" s="262">
        <v>5059600</v>
      </c>
      <c r="K104" s="263"/>
    </row>
    <row r="105" spans="1:11" s="264" customFormat="1" ht="17.25" customHeight="1">
      <c r="A105" s="256"/>
      <c r="B105" s="257"/>
      <c r="C105" s="293" t="s">
        <v>222</v>
      </c>
      <c r="D105" s="258"/>
      <c r="E105" s="258"/>
      <c r="F105" s="258"/>
      <c r="G105" s="259"/>
      <c r="H105" s="295" t="s">
        <v>222</v>
      </c>
      <c r="I105" s="261" t="s">
        <v>821</v>
      </c>
      <c r="J105" s="262">
        <v>1032200</v>
      </c>
      <c r="K105" s="263"/>
    </row>
    <row r="106" spans="1:11" s="264" customFormat="1" ht="17.25" customHeight="1">
      <c r="A106" s="256"/>
      <c r="B106" s="257"/>
      <c r="C106" s="293" t="s">
        <v>16</v>
      </c>
      <c r="D106" s="258"/>
      <c r="E106" s="258"/>
      <c r="F106" s="258"/>
      <c r="G106" s="259"/>
      <c r="H106" s="295" t="s">
        <v>16</v>
      </c>
      <c r="I106" s="261" t="s">
        <v>821</v>
      </c>
      <c r="J106" s="262">
        <v>650000</v>
      </c>
      <c r="K106" s="263"/>
    </row>
    <row r="107" spans="1:11" s="264" customFormat="1" ht="17.25" customHeight="1">
      <c r="A107" s="256"/>
      <c r="B107" s="257"/>
      <c r="C107" s="293" t="s">
        <v>1030</v>
      </c>
      <c r="D107" s="258"/>
      <c r="E107" s="258"/>
      <c r="F107" s="258"/>
      <c r="G107" s="259"/>
      <c r="H107" s="295" t="s">
        <v>1030</v>
      </c>
      <c r="I107" s="261" t="s">
        <v>821</v>
      </c>
      <c r="J107" s="262">
        <f>2250000+1660000+6793000</f>
        <v>10703000</v>
      </c>
      <c r="K107" s="263"/>
    </row>
    <row r="108" spans="1:11" s="264" customFormat="1" ht="17.25" customHeight="1">
      <c r="A108" s="256"/>
      <c r="B108" s="257"/>
      <c r="C108" s="293" t="s">
        <v>1031</v>
      </c>
      <c r="D108" s="258"/>
      <c r="E108" s="258"/>
      <c r="F108" s="258"/>
      <c r="G108" s="259"/>
      <c r="H108" s="295" t="s">
        <v>1031</v>
      </c>
      <c r="I108" s="261" t="s">
        <v>821</v>
      </c>
      <c r="J108" s="262">
        <v>2601000</v>
      </c>
      <c r="K108" s="263"/>
    </row>
    <row r="109" spans="1:11" s="264" customFormat="1" ht="17.25" customHeight="1">
      <c r="A109" s="256"/>
      <c r="B109" s="257"/>
      <c r="C109" s="293" t="s">
        <v>1028</v>
      </c>
      <c r="D109" s="258"/>
      <c r="E109" s="258"/>
      <c r="F109" s="258"/>
      <c r="G109" s="259"/>
      <c r="H109" s="295" t="s">
        <v>1028</v>
      </c>
      <c r="I109" s="261" t="s">
        <v>821</v>
      </c>
      <c r="J109" s="262">
        <v>2350000</v>
      </c>
      <c r="K109" s="263"/>
    </row>
    <row r="110" spans="1:11" s="264" customFormat="1" ht="17.25" customHeight="1">
      <c r="A110" s="256"/>
      <c r="B110" s="265"/>
      <c r="C110" s="265"/>
      <c r="D110" s="266"/>
      <c r="E110" s="266"/>
      <c r="F110" s="266"/>
      <c r="G110" s="277"/>
      <c r="H110" s="302"/>
      <c r="I110" s="301"/>
      <c r="J110" s="270"/>
      <c r="K110" s="263"/>
    </row>
    <row r="111" spans="1:11" s="264" customFormat="1" ht="17.25" customHeight="1">
      <c r="A111" s="256"/>
      <c r="B111" s="257" t="s">
        <v>1034</v>
      </c>
      <c r="C111" s="293"/>
      <c r="D111" s="258">
        <v>47500000</v>
      </c>
      <c r="E111" s="258">
        <v>35119000</v>
      </c>
      <c r="F111" s="258">
        <v>47500000</v>
      </c>
      <c r="G111" s="259">
        <f>E111-D111</f>
        <v>-12381000</v>
      </c>
      <c r="H111" s="295"/>
      <c r="I111" s="299"/>
      <c r="J111" s="262"/>
      <c r="K111" s="263"/>
    </row>
    <row r="112" spans="1:11" s="264" customFormat="1" ht="17.25" customHeight="1">
      <c r="A112" s="256"/>
      <c r="B112" s="257"/>
      <c r="C112" s="293" t="s">
        <v>58</v>
      </c>
      <c r="D112" s="258"/>
      <c r="E112" s="258"/>
      <c r="F112" s="258"/>
      <c r="G112" s="259"/>
      <c r="H112" s="295" t="s">
        <v>58</v>
      </c>
      <c r="I112" s="261" t="s">
        <v>821</v>
      </c>
      <c r="J112" s="262">
        <v>5726000</v>
      </c>
      <c r="K112" s="263"/>
    </row>
    <row r="113" spans="1:11" s="264" customFormat="1" ht="17.25" customHeight="1">
      <c r="A113" s="256"/>
      <c r="B113" s="257"/>
      <c r="C113" s="293" t="s">
        <v>993</v>
      </c>
      <c r="D113" s="258"/>
      <c r="E113" s="258"/>
      <c r="F113" s="258"/>
      <c r="G113" s="259"/>
      <c r="H113" s="295" t="s">
        <v>993</v>
      </c>
      <c r="I113" s="261" t="s">
        <v>821</v>
      </c>
      <c r="J113" s="262">
        <v>11431400</v>
      </c>
      <c r="K113" s="263"/>
    </row>
    <row r="114" spans="1:11" s="264" customFormat="1" ht="17.25" customHeight="1">
      <c r="A114" s="256"/>
      <c r="B114" s="257"/>
      <c r="C114" s="293" t="s">
        <v>222</v>
      </c>
      <c r="D114" s="258"/>
      <c r="E114" s="258"/>
      <c r="F114" s="258"/>
      <c r="G114" s="259"/>
      <c r="H114" s="295" t="s">
        <v>222</v>
      </c>
      <c r="I114" s="261" t="s">
        <v>821</v>
      </c>
      <c r="J114" s="262">
        <v>2798600</v>
      </c>
      <c r="K114" s="263"/>
    </row>
    <row r="115" spans="1:11" s="264" customFormat="1" ht="17.25" customHeight="1">
      <c r="A115" s="256"/>
      <c r="B115" s="257"/>
      <c r="C115" s="293" t="s">
        <v>16</v>
      </c>
      <c r="D115" s="258"/>
      <c r="E115" s="258"/>
      <c r="F115" s="258"/>
      <c r="G115" s="259"/>
      <c r="H115" s="295" t="s">
        <v>16</v>
      </c>
      <c r="I115" s="261" t="s">
        <v>821</v>
      </c>
      <c r="J115" s="262">
        <v>960000</v>
      </c>
      <c r="K115" s="263"/>
    </row>
    <row r="116" spans="1:11" s="264" customFormat="1" ht="17.25" customHeight="1">
      <c r="A116" s="256"/>
      <c r="B116" s="257"/>
      <c r="C116" s="293" t="s">
        <v>1030</v>
      </c>
      <c r="D116" s="258"/>
      <c r="E116" s="258"/>
      <c r="F116" s="258"/>
      <c r="G116" s="259"/>
      <c r="H116" s="295" t="s">
        <v>1030</v>
      </c>
      <c r="I116" s="261" t="s">
        <v>821</v>
      </c>
      <c r="J116" s="262">
        <f>356000+565000+2700000+226000+198000+2250000+405000+1574000+3310000+140000</f>
        <v>11724000</v>
      </c>
      <c r="K116" s="263"/>
    </row>
    <row r="117" spans="1:11" s="264" customFormat="1" ht="17.25" customHeight="1">
      <c r="A117" s="256"/>
      <c r="B117" s="257"/>
      <c r="C117" s="293" t="s">
        <v>1028</v>
      </c>
      <c r="D117" s="258"/>
      <c r="E117" s="258"/>
      <c r="F117" s="258"/>
      <c r="G117" s="259"/>
      <c r="H117" s="295" t="s">
        <v>1028</v>
      </c>
      <c r="I117" s="261" t="s">
        <v>821</v>
      </c>
      <c r="J117" s="262">
        <v>2479000</v>
      </c>
      <c r="K117" s="263"/>
    </row>
    <row r="118" spans="1:11" s="264" customFormat="1" ht="17.25" customHeight="1">
      <c r="A118" s="256"/>
      <c r="B118" s="265"/>
      <c r="C118" s="265"/>
      <c r="D118" s="266"/>
      <c r="E118" s="266"/>
      <c r="F118" s="266"/>
      <c r="G118" s="277"/>
      <c r="H118" s="302"/>
      <c r="I118" s="301"/>
      <c r="J118" s="270"/>
      <c r="K118" s="263"/>
    </row>
    <row r="119" spans="1:11" s="264" customFormat="1" ht="17.25" customHeight="1">
      <c r="A119" s="256"/>
      <c r="B119" s="257" t="s">
        <v>1035</v>
      </c>
      <c r="C119" s="293"/>
      <c r="D119" s="258">
        <v>170150000</v>
      </c>
      <c r="E119" s="258">
        <v>163198000</v>
      </c>
      <c r="F119" s="258">
        <v>170150000</v>
      </c>
      <c r="G119" s="259">
        <f>E119-D119</f>
        <v>-6952000</v>
      </c>
      <c r="H119" s="295"/>
      <c r="I119" s="299"/>
      <c r="J119" s="262"/>
      <c r="K119" s="263"/>
    </row>
    <row r="120" spans="1:11" s="264" customFormat="1" ht="17.25" customHeight="1">
      <c r="A120" s="256"/>
      <c r="B120" s="257"/>
      <c r="C120" s="293" t="s">
        <v>58</v>
      </c>
      <c r="D120" s="258"/>
      <c r="E120" s="258"/>
      <c r="F120" s="258"/>
      <c r="G120" s="259"/>
      <c r="H120" s="295" t="s">
        <v>58</v>
      </c>
      <c r="I120" s="261" t="s">
        <v>821</v>
      </c>
      <c r="J120" s="262">
        <v>11810000</v>
      </c>
      <c r="K120" s="263"/>
    </row>
    <row r="121" spans="1:11" s="264" customFormat="1" ht="17.25" customHeight="1">
      <c r="A121" s="256"/>
      <c r="B121" s="257"/>
      <c r="C121" s="293" t="s">
        <v>993</v>
      </c>
      <c r="D121" s="258"/>
      <c r="E121" s="258"/>
      <c r="F121" s="258"/>
      <c r="G121" s="259"/>
      <c r="H121" s="295" t="s">
        <v>993</v>
      </c>
      <c r="I121" s="261" t="s">
        <v>821</v>
      </c>
      <c r="J121" s="262">
        <v>4868900</v>
      </c>
      <c r="K121" s="263"/>
    </row>
    <row r="122" spans="1:11" s="264" customFormat="1" ht="17.25" customHeight="1">
      <c r="A122" s="256"/>
      <c r="B122" s="257"/>
      <c r="C122" s="293" t="s">
        <v>1026</v>
      </c>
      <c r="D122" s="258"/>
      <c r="E122" s="258"/>
      <c r="F122" s="258"/>
      <c r="G122" s="259"/>
      <c r="H122" s="295" t="s">
        <v>1026</v>
      </c>
      <c r="I122" s="261" t="s">
        <v>821</v>
      </c>
      <c r="J122" s="262">
        <v>15800000</v>
      </c>
      <c r="K122" s="263"/>
    </row>
    <row r="123" spans="1:11" s="264" customFormat="1" ht="17.25" customHeight="1">
      <c r="A123" s="256"/>
      <c r="B123" s="257"/>
      <c r="C123" s="293" t="s">
        <v>222</v>
      </c>
      <c r="D123" s="258"/>
      <c r="E123" s="258"/>
      <c r="F123" s="258"/>
      <c r="G123" s="259"/>
      <c r="H123" s="295" t="s">
        <v>222</v>
      </c>
      <c r="I123" s="261" t="s">
        <v>821</v>
      </c>
      <c r="J123" s="262">
        <v>1000000</v>
      </c>
      <c r="K123" s="263"/>
    </row>
    <row r="124" spans="1:11" s="264" customFormat="1" ht="17.25" customHeight="1">
      <c r="A124" s="256"/>
      <c r="B124" s="257"/>
      <c r="C124" s="293" t="s">
        <v>35</v>
      </c>
      <c r="D124" s="258"/>
      <c r="E124" s="258"/>
      <c r="F124" s="258"/>
      <c r="G124" s="259"/>
      <c r="H124" s="295" t="s">
        <v>35</v>
      </c>
      <c r="I124" s="261" t="s">
        <v>821</v>
      </c>
      <c r="J124" s="262">
        <v>14660000</v>
      </c>
      <c r="K124" s="263"/>
    </row>
    <row r="125" spans="1:11" s="264" customFormat="1" ht="17.25" customHeight="1">
      <c r="A125" s="256"/>
      <c r="B125" s="257"/>
      <c r="C125" s="293" t="s">
        <v>16</v>
      </c>
      <c r="D125" s="258"/>
      <c r="E125" s="258"/>
      <c r="F125" s="258"/>
      <c r="G125" s="259"/>
      <c r="H125" s="295" t="s">
        <v>16</v>
      </c>
      <c r="I125" s="261" t="s">
        <v>821</v>
      </c>
      <c r="J125" s="262">
        <v>5640000</v>
      </c>
      <c r="K125" s="263"/>
    </row>
    <row r="126" spans="1:11" s="264" customFormat="1" ht="17.25" customHeight="1">
      <c r="A126" s="256"/>
      <c r="B126" s="257"/>
      <c r="C126" s="293" t="s">
        <v>1030</v>
      </c>
      <c r="D126" s="258"/>
      <c r="E126" s="258"/>
      <c r="F126" s="258"/>
      <c r="G126" s="259"/>
      <c r="H126" s="295" t="s">
        <v>1030</v>
      </c>
      <c r="I126" s="261" t="s">
        <v>821</v>
      </c>
      <c r="J126" s="262">
        <f>3381500+9590000+60000+420000+13010000</f>
        <v>26461500</v>
      </c>
      <c r="K126" s="263"/>
    </row>
    <row r="127" spans="1:11" s="264" customFormat="1" ht="17.25" customHeight="1">
      <c r="A127" s="256"/>
      <c r="B127" s="257"/>
      <c r="C127" s="293" t="s">
        <v>71</v>
      </c>
      <c r="D127" s="258"/>
      <c r="E127" s="258"/>
      <c r="F127" s="258"/>
      <c r="G127" s="259"/>
      <c r="H127" s="295" t="s">
        <v>71</v>
      </c>
      <c r="I127" s="261" t="s">
        <v>821</v>
      </c>
      <c r="J127" s="262">
        <v>12975000</v>
      </c>
      <c r="K127" s="263"/>
    </row>
    <row r="128" spans="1:11" s="264" customFormat="1" ht="17.25" customHeight="1">
      <c r="A128" s="256"/>
      <c r="B128" s="257"/>
      <c r="C128" s="293" t="s">
        <v>1028</v>
      </c>
      <c r="D128" s="258"/>
      <c r="E128" s="258"/>
      <c r="F128" s="258"/>
      <c r="G128" s="259"/>
      <c r="H128" s="295" t="s">
        <v>1028</v>
      </c>
      <c r="I128" s="261" t="s">
        <v>821</v>
      </c>
      <c r="J128" s="262">
        <v>39982600</v>
      </c>
      <c r="K128" s="263"/>
    </row>
    <row r="129" spans="1:11" s="264" customFormat="1" ht="17.25" customHeight="1">
      <c r="A129" s="256"/>
      <c r="B129" s="257"/>
      <c r="C129" s="293" t="s">
        <v>1036</v>
      </c>
      <c r="D129" s="258"/>
      <c r="E129" s="258"/>
      <c r="F129" s="258"/>
      <c r="G129" s="259"/>
      <c r="H129" s="295" t="s">
        <v>1036</v>
      </c>
      <c r="I129" s="261" t="s">
        <v>821</v>
      </c>
      <c r="J129" s="262">
        <v>30000000</v>
      </c>
      <c r="K129" s="263"/>
    </row>
    <row r="130" spans="1:11" s="264" customFormat="1" ht="17.25" customHeight="1">
      <c r="A130" s="256"/>
      <c r="B130" s="265"/>
      <c r="C130" s="265"/>
      <c r="D130" s="266"/>
      <c r="E130" s="266"/>
      <c r="F130" s="266"/>
      <c r="G130" s="277"/>
      <c r="H130" s="302"/>
      <c r="I130" s="301"/>
      <c r="J130" s="270"/>
      <c r="K130" s="263"/>
    </row>
    <row r="131" spans="1:11" s="264" customFormat="1" ht="17.25" customHeight="1">
      <c r="A131" s="256"/>
      <c r="B131" s="257" t="s">
        <v>1037</v>
      </c>
      <c r="C131" s="293"/>
      <c r="D131" s="258">
        <v>76810000</v>
      </c>
      <c r="E131" s="258">
        <v>57502730</v>
      </c>
      <c r="F131" s="258">
        <v>76810000</v>
      </c>
      <c r="G131" s="259">
        <f>E131-D131</f>
        <v>-19307270</v>
      </c>
      <c r="H131" s="295"/>
      <c r="I131" s="299"/>
      <c r="J131" s="262"/>
      <c r="K131" s="263"/>
    </row>
    <row r="132" spans="1:11" s="264" customFormat="1" ht="17.25" customHeight="1">
      <c r="A132" s="256"/>
      <c r="B132" s="257"/>
      <c r="C132" s="293" t="s">
        <v>58</v>
      </c>
      <c r="D132" s="258"/>
      <c r="E132" s="258"/>
      <c r="F132" s="258"/>
      <c r="G132" s="259"/>
      <c r="H132" s="295" t="s">
        <v>58</v>
      </c>
      <c r="I132" s="261" t="s">
        <v>821</v>
      </c>
      <c r="J132" s="262">
        <v>5040000</v>
      </c>
      <c r="K132" s="263"/>
    </row>
    <row r="133" spans="1:11" s="264" customFormat="1" ht="17.25" customHeight="1">
      <c r="A133" s="256"/>
      <c r="B133" s="257"/>
      <c r="C133" s="293" t="s">
        <v>993</v>
      </c>
      <c r="D133" s="258"/>
      <c r="E133" s="258"/>
      <c r="F133" s="258"/>
      <c r="G133" s="259"/>
      <c r="H133" s="295" t="s">
        <v>993</v>
      </c>
      <c r="I133" s="261" t="s">
        <v>821</v>
      </c>
      <c r="J133" s="262">
        <v>6416000</v>
      </c>
      <c r="K133" s="263"/>
    </row>
    <row r="134" spans="1:11" s="264" customFormat="1" ht="17.25" customHeight="1">
      <c r="A134" s="256"/>
      <c r="B134" s="257"/>
      <c r="C134" s="293" t="s">
        <v>1026</v>
      </c>
      <c r="D134" s="258"/>
      <c r="E134" s="258"/>
      <c r="F134" s="258"/>
      <c r="G134" s="259"/>
      <c r="H134" s="295" t="s">
        <v>1026</v>
      </c>
      <c r="I134" s="261" t="s">
        <v>821</v>
      </c>
      <c r="J134" s="262">
        <v>8800000</v>
      </c>
      <c r="K134" s="263"/>
    </row>
    <row r="135" spans="1:11" s="264" customFormat="1" ht="17.25" customHeight="1">
      <c r="A135" s="256"/>
      <c r="B135" s="257"/>
      <c r="C135" s="293" t="s">
        <v>222</v>
      </c>
      <c r="D135" s="258"/>
      <c r="E135" s="258"/>
      <c r="F135" s="258"/>
      <c r="G135" s="259"/>
      <c r="H135" s="295" t="s">
        <v>222</v>
      </c>
      <c r="I135" s="261" t="s">
        <v>821</v>
      </c>
      <c r="J135" s="262">
        <v>1650000</v>
      </c>
      <c r="K135" s="263"/>
    </row>
    <row r="136" spans="1:11" s="264" customFormat="1" ht="17.25" customHeight="1">
      <c r="A136" s="256"/>
      <c r="B136" s="257"/>
      <c r="C136" s="293" t="s">
        <v>35</v>
      </c>
      <c r="D136" s="258"/>
      <c r="E136" s="258"/>
      <c r="F136" s="258"/>
      <c r="G136" s="259"/>
      <c r="H136" s="295" t="s">
        <v>35</v>
      </c>
      <c r="I136" s="261" t="s">
        <v>821</v>
      </c>
      <c r="J136" s="262">
        <v>10860000</v>
      </c>
      <c r="K136" s="263"/>
    </row>
    <row r="137" spans="1:11" s="264" customFormat="1" ht="17.25" customHeight="1">
      <c r="A137" s="256"/>
      <c r="B137" s="257"/>
      <c r="C137" s="293" t="s">
        <v>16</v>
      </c>
      <c r="D137" s="258"/>
      <c r="E137" s="258"/>
      <c r="F137" s="258"/>
      <c r="G137" s="259"/>
      <c r="H137" s="295" t="s">
        <v>16</v>
      </c>
      <c r="I137" s="261" t="s">
        <v>821</v>
      </c>
      <c r="J137" s="262">
        <v>2850000</v>
      </c>
      <c r="K137" s="263"/>
    </row>
    <row r="138" spans="1:11" s="264" customFormat="1" ht="17.25" customHeight="1">
      <c r="A138" s="256"/>
      <c r="B138" s="257"/>
      <c r="C138" s="293" t="s">
        <v>1030</v>
      </c>
      <c r="D138" s="258"/>
      <c r="E138" s="258"/>
      <c r="F138" s="258"/>
      <c r="G138" s="259"/>
      <c r="H138" s="295" t="s">
        <v>1030</v>
      </c>
      <c r="I138" s="261" t="s">
        <v>821</v>
      </c>
      <c r="J138" s="262">
        <f>5470000+8390000+200000</f>
        <v>14060000</v>
      </c>
      <c r="K138" s="263"/>
    </row>
    <row r="139" spans="1:11" s="264" customFormat="1" ht="17.25" customHeight="1">
      <c r="A139" s="256"/>
      <c r="B139" s="257"/>
      <c r="C139" s="293" t="s">
        <v>71</v>
      </c>
      <c r="D139" s="258"/>
      <c r="E139" s="258"/>
      <c r="F139" s="258"/>
      <c r="G139" s="259"/>
      <c r="H139" s="295" t="s">
        <v>71</v>
      </c>
      <c r="I139" s="261" t="s">
        <v>821</v>
      </c>
      <c r="J139" s="262">
        <v>6416000</v>
      </c>
      <c r="K139" s="263"/>
    </row>
    <row r="140" spans="1:11" s="264" customFormat="1" ht="17.25" customHeight="1">
      <c r="A140" s="256"/>
      <c r="B140" s="257"/>
      <c r="C140" s="293" t="s">
        <v>1028</v>
      </c>
      <c r="D140" s="258"/>
      <c r="E140" s="258"/>
      <c r="F140" s="258"/>
      <c r="G140" s="259"/>
      <c r="H140" s="295" t="s">
        <v>1028</v>
      </c>
      <c r="I140" s="261" t="s">
        <v>821</v>
      </c>
      <c r="J140" s="262">
        <v>1410730</v>
      </c>
      <c r="K140" s="263"/>
    </row>
    <row r="141" spans="1:11" s="264" customFormat="1" ht="17.25" customHeight="1">
      <c r="A141" s="256"/>
      <c r="B141" s="265"/>
      <c r="C141" s="265"/>
      <c r="D141" s="266"/>
      <c r="E141" s="266"/>
      <c r="F141" s="266"/>
      <c r="G141" s="277"/>
      <c r="H141" s="302"/>
      <c r="I141" s="301"/>
      <c r="J141" s="270"/>
      <c r="K141" s="263"/>
    </row>
    <row r="142" spans="1:11" s="264" customFormat="1" ht="17.25" customHeight="1">
      <c r="A142" s="256"/>
      <c r="B142" s="257" t="s">
        <v>934</v>
      </c>
      <c r="C142" s="293"/>
      <c r="D142" s="258">
        <v>277341400</v>
      </c>
      <c r="E142" s="258">
        <v>256249900</v>
      </c>
      <c r="F142" s="258">
        <v>277341400</v>
      </c>
      <c r="G142" s="259">
        <f>E142-D142</f>
        <v>-21091500</v>
      </c>
      <c r="H142" s="295"/>
      <c r="I142" s="299"/>
      <c r="J142" s="262"/>
      <c r="K142" s="263"/>
    </row>
    <row r="143" spans="1:11" s="264" customFormat="1" ht="17.25" customHeight="1">
      <c r="A143" s="256"/>
      <c r="B143" s="257"/>
      <c r="C143" s="293" t="s">
        <v>58</v>
      </c>
      <c r="D143" s="258"/>
      <c r="E143" s="258"/>
      <c r="F143" s="258"/>
      <c r="G143" s="259"/>
      <c r="H143" s="295" t="s">
        <v>58</v>
      </c>
      <c r="I143" s="261" t="s">
        <v>821</v>
      </c>
      <c r="J143" s="262">
        <v>12080000</v>
      </c>
      <c r="K143" s="263"/>
    </row>
    <row r="144" spans="1:11" s="264" customFormat="1" ht="17.25" customHeight="1">
      <c r="A144" s="256"/>
      <c r="B144" s="257"/>
      <c r="C144" s="293" t="s">
        <v>993</v>
      </c>
      <c r="D144" s="258"/>
      <c r="E144" s="258"/>
      <c r="F144" s="258"/>
      <c r="G144" s="259"/>
      <c r="H144" s="295" t="s">
        <v>993</v>
      </c>
      <c r="I144" s="261" t="s">
        <v>821</v>
      </c>
      <c r="J144" s="262">
        <v>6639300</v>
      </c>
      <c r="K144" s="263"/>
    </row>
    <row r="145" spans="1:11" s="264" customFormat="1" ht="17.25" customHeight="1">
      <c r="A145" s="256"/>
      <c r="B145" s="257"/>
      <c r="C145" s="293" t="s">
        <v>1026</v>
      </c>
      <c r="D145" s="258"/>
      <c r="E145" s="258"/>
      <c r="F145" s="258"/>
      <c r="G145" s="259"/>
      <c r="H145" s="295" t="s">
        <v>1026</v>
      </c>
      <c r="I145" s="261" t="s">
        <v>821</v>
      </c>
      <c r="J145" s="262">
        <f>300000+600000+1800000+8252800+51802400+24615600+37800000+13200000</f>
        <v>138370800</v>
      </c>
      <c r="K145" s="263"/>
    </row>
    <row r="146" spans="1:11" s="264" customFormat="1" ht="17.25" customHeight="1">
      <c r="A146" s="256"/>
      <c r="B146" s="257"/>
      <c r="C146" s="293" t="s">
        <v>222</v>
      </c>
      <c r="D146" s="258"/>
      <c r="E146" s="258"/>
      <c r="F146" s="258"/>
      <c r="G146" s="259"/>
      <c r="H146" s="295" t="s">
        <v>222</v>
      </c>
      <c r="I146" s="261" t="s">
        <v>821</v>
      </c>
      <c r="J146" s="262">
        <f>600000+3816000</f>
        <v>4416000</v>
      </c>
      <c r="K146" s="263"/>
    </row>
    <row r="147" spans="1:11" s="264" customFormat="1" ht="17.25" customHeight="1">
      <c r="A147" s="256"/>
      <c r="B147" s="257"/>
      <c r="C147" s="293" t="s">
        <v>35</v>
      </c>
      <c r="D147" s="258"/>
      <c r="E147" s="258"/>
      <c r="F147" s="258"/>
      <c r="G147" s="259"/>
      <c r="H147" s="295" t="s">
        <v>35</v>
      </c>
      <c r="I147" s="261" t="s">
        <v>821</v>
      </c>
      <c r="J147" s="262">
        <v>15230000</v>
      </c>
      <c r="K147" s="263"/>
    </row>
    <row r="148" spans="1:11" s="264" customFormat="1" ht="17.25" customHeight="1">
      <c r="A148" s="256"/>
      <c r="B148" s="257"/>
      <c r="C148" s="293" t="s">
        <v>16</v>
      </c>
      <c r="D148" s="258"/>
      <c r="E148" s="258"/>
      <c r="F148" s="258"/>
      <c r="G148" s="259"/>
      <c r="H148" s="295" t="s">
        <v>16</v>
      </c>
      <c r="I148" s="261" t="s">
        <v>821</v>
      </c>
      <c r="J148" s="262">
        <f>370000+240000+3560000+300000</f>
        <v>4470000</v>
      </c>
      <c r="K148" s="263"/>
    </row>
    <row r="149" spans="1:11" s="264" customFormat="1" ht="17.25" customHeight="1">
      <c r="A149" s="256"/>
      <c r="B149" s="257"/>
      <c r="C149" s="293" t="s">
        <v>1030</v>
      </c>
      <c r="D149" s="258"/>
      <c r="E149" s="258"/>
      <c r="F149" s="258"/>
      <c r="G149" s="259"/>
      <c r="H149" s="295" t="s">
        <v>1030</v>
      </c>
      <c r="I149" s="261" t="s">
        <v>821</v>
      </c>
      <c r="J149" s="262">
        <f>6000000+22360000</f>
        <v>28360000</v>
      </c>
      <c r="K149" s="263"/>
    </row>
    <row r="150" spans="1:11" s="264" customFormat="1" ht="17.25" customHeight="1">
      <c r="A150" s="256"/>
      <c r="B150" s="257"/>
      <c r="C150" s="293" t="s">
        <v>71</v>
      </c>
      <c r="D150" s="258"/>
      <c r="E150" s="258"/>
      <c r="F150" s="258"/>
      <c r="G150" s="259"/>
      <c r="H150" s="295" t="s">
        <v>71</v>
      </c>
      <c r="I150" s="261" t="s">
        <v>821</v>
      </c>
      <c r="J150" s="262">
        <v>7348000</v>
      </c>
      <c r="K150" s="263"/>
    </row>
    <row r="151" spans="1:11" s="264" customFormat="1" ht="17.25" customHeight="1">
      <c r="A151" s="256"/>
      <c r="B151" s="257"/>
      <c r="C151" s="293" t="s">
        <v>1028</v>
      </c>
      <c r="D151" s="258"/>
      <c r="E151" s="258"/>
      <c r="F151" s="258"/>
      <c r="G151" s="259"/>
      <c r="H151" s="295" t="s">
        <v>1028</v>
      </c>
      <c r="I151" s="261" t="s">
        <v>821</v>
      </c>
      <c r="J151" s="262">
        <v>9335800</v>
      </c>
      <c r="K151" s="263"/>
    </row>
    <row r="152" spans="1:11" s="264" customFormat="1" ht="17.25" customHeight="1">
      <c r="A152" s="256"/>
      <c r="B152" s="257"/>
      <c r="C152" s="293" t="s">
        <v>1036</v>
      </c>
      <c r="D152" s="258"/>
      <c r="E152" s="258"/>
      <c r="F152" s="258"/>
      <c r="G152" s="259"/>
      <c r="H152" s="295" t="s">
        <v>1036</v>
      </c>
      <c r="I152" s="261" t="s">
        <v>821</v>
      </c>
      <c r="J152" s="262">
        <v>30000000</v>
      </c>
      <c r="K152" s="263"/>
    </row>
    <row r="153" spans="1:11" s="264" customFormat="1" ht="17.25" customHeight="1">
      <c r="A153" s="256"/>
      <c r="B153" s="265"/>
      <c r="C153" s="303"/>
      <c r="D153" s="266"/>
      <c r="E153" s="266"/>
      <c r="F153" s="266"/>
      <c r="G153" s="277"/>
      <c r="H153" s="302"/>
      <c r="I153" s="301"/>
      <c r="J153" s="270"/>
      <c r="K153" s="263"/>
    </row>
    <row r="154" spans="1:11" s="264" customFormat="1" ht="17.25" customHeight="1">
      <c r="A154" s="256"/>
      <c r="B154" s="257" t="s">
        <v>1038</v>
      </c>
      <c r="C154" s="293"/>
      <c r="D154" s="258">
        <f>77200000+32135000</f>
        <v>109335000</v>
      </c>
      <c r="E154" s="258">
        <v>86790300</v>
      </c>
      <c r="F154" s="258">
        <f>77200000+32135000</f>
        <v>109335000</v>
      </c>
      <c r="G154" s="259">
        <f>E154-D154</f>
        <v>-22544700</v>
      </c>
      <c r="H154" s="295"/>
      <c r="I154" s="299"/>
      <c r="J154" s="262"/>
      <c r="K154" s="263"/>
    </row>
    <row r="155" spans="1:11" s="264" customFormat="1" ht="17.25" customHeight="1">
      <c r="A155" s="256"/>
      <c r="B155" s="257"/>
      <c r="C155" s="293" t="s">
        <v>58</v>
      </c>
      <c r="D155" s="258"/>
      <c r="E155" s="258"/>
      <c r="F155" s="258"/>
      <c r="G155" s="259"/>
      <c r="H155" s="295" t="s">
        <v>58</v>
      </c>
      <c r="I155" s="261" t="s">
        <v>821</v>
      </c>
      <c r="J155" s="262">
        <v>9100000</v>
      </c>
      <c r="K155" s="263"/>
    </row>
    <row r="156" spans="1:11" s="264" customFormat="1" ht="17.25" customHeight="1">
      <c r="A156" s="256"/>
      <c r="B156" s="257"/>
      <c r="C156" s="293" t="s">
        <v>993</v>
      </c>
      <c r="D156" s="258"/>
      <c r="E156" s="258"/>
      <c r="F156" s="258"/>
      <c r="G156" s="259"/>
      <c r="H156" s="295" t="s">
        <v>993</v>
      </c>
      <c r="I156" s="261" t="s">
        <v>821</v>
      </c>
      <c r="J156" s="262">
        <v>4607300</v>
      </c>
      <c r="K156" s="263"/>
    </row>
    <row r="157" spans="1:11" s="264" customFormat="1" ht="17.25" customHeight="1">
      <c r="A157" s="256"/>
      <c r="B157" s="257"/>
      <c r="C157" s="293" t="s">
        <v>222</v>
      </c>
      <c r="D157" s="258"/>
      <c r="E157" s="258"/>
      <c r="F157" s="258"/>
      <c r="G157" s="259"/>
      <c r="H157" s="295" t="s">
        <v>222</v>
      </c>
      <c r="I157" s="261" t="s">
        <v>821</v>
      </c>
      <c r="J157" s="262">
        <v>2500000</v>
      </c>
      <c r="K157" s="263"/>
    </row>
    <row r="158" spans="1:11" s="264" customFormat="1" ht="17.25" customHeight="1">
      <c r="A158" s="256"/>
      <c r="B158" s="257"/>
      <c r="C158" s="293" t="s">
        <v>35</v>
      </c>
      <c r="D158" s="258"/>
      <c r="E158" s="258"/>
      <c r="F158" s="258"/>
      <c r="G158" s="259"/>
      <c r="H158" s="295" t="s">
        <v>35</v>
      </c>
      <c r="I158" s="261" t="s">
        <v>821</v>
      </c>
      <c r="J158" s="262">
        <v>10160000</v>
      </c>
      <c r="K158" s="263"/>
    </row>
    <row r="159" spans="1:11" s="264" customFormat="1" ht="17.25" customHeight="1">
      <c r="A159" s="256"/>
      <c r="B159" s="257"/>
      <c r="C159" s="293" t="s">
        <v>16</v>
      </c>
      <c r="D159" s="258"/>
      <c r="E159" s="258"/>
      <c r="F159" s="258"/>
      <c r="G159" s="259"/>
      <c r="H159" s="295" t="s">
        <v>16</v>
      </c>
      <c r="I159" s="261" t="s">
        <v>821</v>
      </c>
      <c r="J159" s="262">
        <v>3820000</v>
      </c>
      <c r="K159" s="263"/>
    </row>
    <row r="160" spans="1:11" s="264" customFormat="1" ht="17.25" customHeight="1">
      <c r="A160" s="256"/>
      <c r="B160" s="257"/>
      <c r="C160" s="293" t="s">
        <v>1030</v>
      </c>
      <c r="D160" s="258"/>
      <c r="E160" s="258"/>
      <c r="F160" s="258"/>
      <c r="G160" s="259"/>
      <c r="H160" s="295" t="s">
        <v>1030</v>
      </c>
      <c r="I160" s="261" t="s">
        <v>821</v>
      </c>
      <c r="J160" s="262">
        <f>6310000+10515000</f>
        <v>16825000</v>
      </c>
      <c r="K160" s="263"/>
    </row>
    <row r="161" spans="1:11" s="264" customFormat="1" ht="17.25" customHeight="1">
      <c r="A161" s="256"/>
      <c r="B161" s="257"/>
      <c r="C161" s="293" t="s">
        <v>1039</v>
      </c>
      <c r="D161" s="258"/>
      <c r="E161" s="258"/>
      <c r="F161" s="258"/>
      <c r="G161" s="259"/>
      <c r="H161" s="295" t="s">
        <v>1040</v>
      </c>
      <c r="I161" s="261" t="s">
        <v>821</v>
      </c>
      <c r="J161" s="262">
        <v>11400000</v>
      </c>
      <c r="K161" s="263"/>
    </row>
    <row r="162" spans="1:11" s="264" customFormat="1" ht="17.25" customHeight="1">
      <c r="A162" s="256"/>
      <c r="B162" s="257"/>
      <c r="C162" s="293" t="s">
        <v>71</v>
      </c>
      <c r="D162" s="258"/>
      <c r="E162" s="258"/>
      <c r="F162" s="258"/>
      <c r="G162" s="259"/>
      <c r="H162" s="295" t="s">
        <v>71</v>
      </c>
      <c r="I162" s="261" t="s">
        <v>821</v>
      </c>
      <c r="J162" s="262">
        <v>5940000</v>
      </c>
      <c r="K162" s="263"/>
    </row>
    <row r="163" spans="1:11" s="264" customFormat="1" ht="17.25" customHeight="1">
      <c r="A163" s="256"/>
      <c r="B163" s="257"/>
      <c r="C163" s="293" t="s">
        <v>1028</v>
      </c>
      <c r="D163" s="258"/>
      <c r="E163" s="258"/>
      <c r="F163" s="258"/>
      <c r="G163" s="259"/>
      <c r="H163" s="295" t="s">
        <v>1028</v>
      </c>
      <c r="I163" s="261" t="s">
        <v>821</v>
      </c>
      <c r="J163" s="262">
        <v>6438000</v>
      </c>
      <c r="K163" s="263"/>
    </row>
    <row r="164" spans="1:11" s="264" customFormat="1" ht="17.25" customHeight="1">
      <c r="A164" s="256"/>
      <c r="B164" s="257"/>
      <c r="C164" s="293" t="s">
        <v>1036</v>
      </c>
      <c r="D164" s="258"/>
      <c r="E164" s="258"/>
      <c r="F164" s="258"/>
      <c r="G164" s="259"/>
      <c r="H164" s="295" t="s">
        <v>1036</v>
      </c>
      <c r="I164" s="261" t="s">
        <v>821</v>
      </c>
      <c r="J164" s="262">
        <v>16000000</v>
      </c>
      <c r="K164" s="263"/>
    </row>
    <row r="165" spans="1:11" s="264" customFormat="1" ht="17.25" customHeight="1">
      <c r="A165" s="256"/>
      <c r="B165" s="265"/>
      <c r="C165" s="303"/>
      <c r="D165" s="266"/>
      <c r="E165" s="266"/>
      <c r="F165" s="266"/>
      <c r="G165" s="277"/>
      <c r="H165" s="302"/>
      <c r="I165" s="301"/>
      <c r="J165" s="270"/>
      <c r="K165" s="263"/>
    </row>
    <row r="166" spans="1:11" s="264" customFormat="1" ht="19.5" customHeight="1">
      <c r="A166" s="256"/>
      <c r="B166" s="257" t="s">
        <v>1041</v>
      </c>
      <c r="C166" s="293"/>
      <c r="D166" s="258">
        <v>724000000</v>
      </c>
      <c r="E166" s="258">
        <v>724355646</v>
      </c>
      <c r="F166" s="258">
        <v>724000000</v>
      </c>
      <c r="G166" s="259">
        <f>E166-D166</f>
        <v>355646</v>
      </c>
      <c r="H166" s="295"/>
      <c r="I166" s="299"/>
      <c r="J166" s="262"/>
      <c r="K166" s="263"/>
    </row>
    <row r="167" spans="1:11" s="264" customFormat="1" ht="19.5" customHeight="1">
      <c r="A167" s="256"/>
      <c r="B167" s="257"/>
      <c r="C167" s="293" t="s">
        <v>58</v>
      </c>
      <c r="D167" s="258"/>
      <c r="E167" s="258"/>
      <c r="F167" s="258"/>
      <c r="G167" s="259"/>
      <c r="H167" s="295" t="s">
        <v>58</v>
      </c>
      <c r="I167" s="261" t="s">
        <v>821</v>
      </c>
      <c r="J167" s="262">
        <v>31171000</v>
      </c>
      <c r="K167" s="263"/>
    </row>
    <row r="168" spans="1:11" s="264" customFormat="1" ht="19.5" customHeight="1">
      <c r="A168" s="256"/>
      <c r="B168" s="257"/>
      <c r="C168" s="293" t="s">
        <v>993</v>
      </c>
      <c r="D168" s="258"/>
      <c r="E168" s="258"/>
      <c r="F168" s="258"/>
      <c r="G168" s="259"/>
      <c r="H168" s="295" t="s">
        <v>993</v>
      </c>
      <c r="I168" s="261" t="s">
        <v>821</v>
      </c>
      <c r="J168" s="262">
        <v>16770500</v>
      </c>
      <c r="K168" s="263"/>
    </row>
    <row r="169" spans="1:11" s="264" customFormat="1" ht="19.5" customHeight="1">
      <c r="A169" s="256"/>
      <c r="B169" s="257"/>
      <c r="C169" s="293" t="s">
        <v>1026</v>
      </c>
      <c r="D169" s="258"/>
      <c r="E169" s="258"/>
      <c r="F169" s="258"/>
      <c r="G169" s="259"/>
      <c r="H169" s="295" t="s">
        <v>1026</v>
      </c>
      <c r="I169" s="261" t="s">
        <v>821</v>
      </c>
      <c r="J169" s="262">
        <v>13600000</v>
      </c>
      <c r="K169" s="263"/>
    </row>
    <row r="170" spans="1:11" s="264" customFormat="1" ht="19.5" customHeight="1">
      <c r="A170" s="256"/>
      <c r="B170" s="257"/>
      <c r="C170" s="293" t="s">
        <v>222</v>
      </c>
      <c r="D170" s="258"/>
      <c r="E170" s="258"/>
      <c r="F170" s="258"/>
      <c r="G170" s="259"/>
      <c r="H170" s="295" t="s">
        <v>222</v>
      </c>
      <c r="I170" s="261" t="s">
        <v>821</v>
      </c>
      <c r="J170" s="262">
        <v>14980000</v>
      </c>
      <c r="K170" s="263"/>
    </row>
    <row r="171" spans="1:11" s="264" customFormat="1" ht="19.5" customHeight="1">
      <c r="A171" s="256"/>
      <c r="B171" s="257"/>
      <c r="C171" s="293" t="s">
        <v>35</v>
      </c>
      <c r="D171" s="258"/>
      <c r="E171" s="258"/>
      <c r="F171" s="258"/>
      <c r="G171" s="259"/>
      <c r="H171" s="295" t="s">
        <v>35</v>
      </c>
      <c r="I171" s="261" t="s">
        <v>821</v>
      </c>
      <c r="J171" s="262">
        <v>11592000</v>
      </c>
      <c r="K171" s="263"/>
    </row>
    <row r="172" spans="1:11" s="264" customFormat="1" ht="19.5" customHeight="1">
      <c r="A172" s="256"/>
      <c r="B172" s="257"/>
      <c r="C172" s="293" t="s">
        <v>16</v>
      </c>
      <c r="D172" s="258"/>
      <c r="E172" s="258"/>
      <c r="F172" s="258"/>
      <c r="G172" s="259"/>
      <c r="H172" s="295" t="s">
        <v>16</v>
      </c>
      <c r="I172" s="261" t="s">
        <v>821</v>
      </c>
      <c r="J172" s="262">
        <v>52707000</v>
      </c>
      <c r="K172" s="263"/>
    </row>
    <row r="173" spans="1:11" s="264" customFormat="1" ht="19.5" customHeight="1">
      <c r="A173" s="256"/>
      <c r="B173" s="257"/>
      <c r="C173" s="293" t="s">
        <v>1030</v>
      </c>
      <c r="D173" s="258"/>
      <c r="E173" s="258"/>
      <c r="F173" s="258"/>
      <c r="G173" s="259"/>
      <c r="H173" s="295" t="s">
        <v>1030</v>
      </c>
      <c r="I173" s="261" t="s">
        <v>821</v>
      </c>
      <c r="J173" s="262">
        <v>50650000</v>
      </c>
      <c r="K173" s="263"/>
    </row>
    <row r="174" spans="1:11" s="264" customFormat="1" ht="19.5" customHeight="1">
      <c r="A174" s="256"/>
      <c r="B174" s="257"/>
      <c r="C174" s="293" t="s">
        <v>71</v>
      </c>
      <c r="D174" s="258"/>
      <c r="E174" s="258"/>
      <c r="F174" s="258"/>
      <c r="G174" s="259"/>
      <c r="H174" s="295" t="s">
        <v>71</v>
      </c>
      <c r="I174" s="261" t="s">
        <v>821</v>
      </c>
      <c r="J174" s="262">
        <f>14047000+119500000</f>
        <v>133547000</v>
      </c>
      <c r="K174" s="263"/>
    </row>
    <row r="175" spans="1:11" s="264" customFormat="1" ht="19.5" customHeight="1">
      <c r="A175" s="256"/>
      <c r="B175" s="257"/>
      <c r="C175" s="293" t="s">
        <v>1028</v>
      </c>
      <c r="D175" s="258"/>
      <c r="E175" s="258"/>
      <c r="F175" s="258"/>
      <c r="G175" s="259"/>
      <c r="H175" s="295" t="s">
        <v>1028</v>
      </c>
      <c r="I175" s="261" t="s">
        <v>821</v>
      </c>
      <c r="J175" s="262">
        <v>232738146</v>
      </c>
      <c r="K175" s="263"/>
    </row>
    <row r="176" spans="1:11" s="264" customFormat="1" ht="19.5" customHeight="1">
      <c r="A176" s="256"/>
      <c r="B176" s="257"/>
      <c r="C176" s="293" t="s">
        <v>1036</v>
      </c>
      <c r="D176" s="258"/>
      <c r="E176" s="258"/>
      <c r="F176" s="258"/>
      <c r="G176" s="259"/>
      <c r="H176" s="295" t="s">
        <v>1036</v>
      </c>
      <c r="I176" s="261" t="s">
        <v>821</v>
      </c>
      <c r="J176" s="262">
        <v>1600000</v>
      </c>
      <c r="K176" s="263"/>
    </row>
    <row r="177" spans="1:13" s="264" customFormat="1" ht="19.5" customHeight="1">
      <c r="A177" s="256"/>
      <c r="B177" s="257"/>
      <c r="C177" s="304" t="s">
        <v>1042</v>
      </c>
      <c r="D177" s="258"/>
      <c r="E177" s="258"/>
      <c r="F177" s="258"/>
      <c r="G177" s="259"/>
      <c r="H177" s="295" t="s">
        <v>1042</v>
      </c>
      <c r="I177" s="261" t="s">
        <v>821</v>
      </c>
      <c r="J177" s="262">
        <v>165000000</v>
      </c>
      <c r="K177" s="263"/>
    </row>
    <row r="178" spans="1:13" s="264" customFormat="1" ht="19.5" customHeight="1" thickBot="1">
      <c r="A178" s="256"/>
      <c r="B178" s="265"/>
      <c r="C178" s="303"/>
      <c r="D178" s="266"/>
      <c r="E178" s="266"/>
      <c r="F178" s="266"/>
      <c r="G178" s="277"/>
      <c r="H178" s="302"/>
      <c r="I178" s="301"/>
      <c r="J178" s="270"/>
      <c r="K178" s="263"/>
    </row>
    <row r="179" spans="1:13" s="246" customFormat="1" ht="18.399999999999999" customHeight="1" thickBot="1">
      <c r="A179" s="289" t="s">
        <v>1043</v>
      </c>
      <c r="B179" s="250" t="s">
        <v>814</v>
      </c>
      <c r="C179" s="250" t="s">
        <v>811</v>
      </c>
      <c r="D179" s="290">
        <f>D180+D189+D193+D200+D205+D214+D231+D242+D253+D263+D272+D281+D290+D322+D302+D308+D310+D226</f>
        <v>1582714500</v>
      </c>
      <c r="E179" s="290">
        <f t="shared" ref="E179:G179" si="0">E180+E189+E193+E200+E205+E214+E231+E242+E253+E263+E272+E281+E290+E322+E302+E308+E310+E226</f>
        <v>1501812170</v>
      </c>
      <c r="F179" s="290">
        <f>F180+F189+F193+F200+F205+F214+F231+F242+F253+F263+F272+F281+F290+F322+F302+F308+F310+F226</f>
        <v>1582714500</v>
      </c>
      <c r="G179" s="290">
        <f t="shared" si="0"/>
        <v>-80902330</v>
      </c>
      <c r="H179" s="291"/>
      <c r="I179" s="253"/>
      <c r="J179" s="254"/>
      <c r="K179" s="292"/>
    </row>
    <row r="180" spans="1:13" s="264" customFormat="1" ht="18.399999999999999" customHeight="1">
      <c r="A180" s="256" t="s">
        <v>136</v>
      </c>
      <c r="B180" s="293" t="s">
        <v>1044</v>
      </c>
      <c r="C180" s="293"/>
      <c r="D180" s="258">
        <v>30000000</v>
      </c>
      <c r="E180" s="258">
        <v>45847521</v>
      </c>
      <c r="F180" s="258">
        <v>30000000</v>
      </c>
      <c r="G180" s="259">
        <f>E180-D180</f>
        <v>15847521</v>
      </c>
      <c r="H180" s="260"/>
      <c r="I180" s="299"/>
      <c r="J180" s="262"/>
      <c r="K180" s="263"/>
      <c r="M180" s="305"/>
    </row>
    <row r="181" spans="1:13" s="264" customFormat="1" ht="18.399999999999999" customHeight="1">
      <c r="A181" s="256"/>
      <c r="B181" s="293"/>
      <c r="C181" s="293" t="s">
        <v>58</v>
      </c>
      <c r="D181" s="258"/>
      <c r="E181" s="258"/>
      <c r="F181" s="258"/>
      <c r="G181" s="259"/>
      <c r="H181" s="295" t="s">
        <v>58</v>
      </c>
      <c r="I181" s="261" t="s">
        <v>821</v>
      </c>
      <c r="J181" s="262">
        <v>3180000</v>
      </c>
      <c r="K181" s="263"/>
    </row>
    <row r="182" spans="1:13" s="264" customFormat="1" ht="18.399999999999999" customHeight="1">
      <c r="A182" s="256"/>
      <c r="B182" s="306"/>
      <c r="C182" s="293" t="s">
        <v>993</v>
      </c>
      <c r="D182" s="258"/>
      <c r="E182" s="258"/>
      <c r="F182" s="258"/>
      <c r="G182" s="259"/>
      <c r="H182" s="295" t="s">
        <v>993</v>
      </c>
      <c r="I182" s="261" t="s">
        <v>821</v>
      </c>
      <c r="J182" s="262">
        <v>4747470</v>
      </c>
      <c r="K182" s="263"/>
    </row>
    <row r="183" spans="1:13" s="264" customFormat="1" ht="18.399999999999999" customHeight="1">
      <c r="A183" s="256"/>
      <c r="B183" s="257"/>
      <c r="C183" s="293" t="s">
        <v>222</v>
      </c>
      <c r="D183" s="258"/>
      <c r="E183" s="258"/>
      <c r="F183" s="258"/>
      <c r="G183" s="259"/>
      <c r="H183" s="295" t="s">
        <v>222</v>
      </c>
      <c r="I183" s="261" t="s">
        <v>821</v>
      </c>
      <c r="J183" s="262">
        <v>3356051</v>
      </c>
      <c r="K183" s="263"/>
    </row>
    <row r="184" spans="1:13" s="264" customFormat="1" ht="18.399999999999999" customHeight="1">
      <c r="A184" s="307"/>
      <c r="B184" s="257"/>
      <c r="C184" s="293" t="s">
        <v>126</v>
      </c>
      <c r="D184" s="258"/>
      <c r="E184" s="258"/>
      <c r="F184" s="258"/>
      <c r="G184" s="259"/>
      <c r="H184" s="295" t="s">
        <v>126</v>
      </c>
      <c r="I184" s="261" t="s">
        <v>821</v>
      </c>
      <c r="J184" s="262">
        <v>6664800</v>
      </c>
      <c r="K184" s="263"/>
    </row>
    <row r="185" spans="1:13" s="264" customFormat="1" ht="18.399999999999999" customHeight="1">
      <c r="A185" s="256" t="s">
        <v>136</v>
      </c>
      <c r="B185" s="293"/>
      <c r="C185" s="293" t="s">
        <v>824</v>
      </c>
      <c r="D185" s="258"/>
      <c r="E185" s="258"/>
      <c r="F185" s="258"/>
      <c r="G185" s="259"/>
      <c r="H185" s="295" t="s">
        <v>824</v>
      </c>
      <c r="I185" s="261" t="s">
        <v>821</v>
      </c>
      <c r="J185" s="262">
        <v>12000000</v>
      </c>
      <c r="K185" s="263"/>
    </row>
    <row r="186" spans="1:13" s="264" customFormat="1" ht="18.399999999999999" customHeight="1">
      <c r="A186" s="307"/>
      <c r="B186" s="257"/>
      <c r="C186" s="293" t="s">
        <v>1045</v>
      </c>
      <c r="D186" s="258"/>
      <c r="E186" s="258"/>
      <c r="F186" s="258"/>
      <c r="G186" s="259"/>
      <c r="H186" s="295" t="s">
        <v>1045</v>
      </c>
      <c r="I186" s="261" t="s">
        <v>821</v>
      </c>
      <c r="J186" s="262">
        <v>7027800</v>
      </c>
      <c r="K186" s="263"/>
    </row>
    <row r="187" spans="1:13" s="264" customFormat="1" ht="18.399999999999999" customHeight="1">
      <c r="A187" s="307"/>
      <c r="B187" s="257"/>
      <c r="C187" s="293" t="s">
        <v>1028</v>
      </c>
      <c r="D187" s="258"/>
      <c r="E187" s="258"/>
      <c r="F187" s="258"/>
      <c r="G187" s="259"/>
      <c r="H187" s="295" t="s">
        <v>1028</v>
      </c>
      <c r="I187" s="261" t="s">
        <v>821</v>
      </c>
      <c r="J187" s="262">
        <f>3195400+5676000</f>
        <v>8871400</v>
      </c>
      <c r="K187" s="263"/>
    </row>
    <row r="188" spans="1:13" s="264" customFormat="1" ht="18.399999999999999" customHeight="1">
      <c r="A188" s="256"/>
      <c r="B188" s="265"/>
      <c r="C188" s="303"/>
      <c r="D188" s="266"/>
      <c r="E188" s="266"/>
      <c r="F188" s="266"/>
      <c r="G188" s="267"/>
      <c r="H188" s="302"/>
      <c r="I188" s="298"/>
      <c r="J188" s="270"/>
      <c r="K188" s="263"/>
    </row>
    <row r="189" spans="1:13" s="264" customFormat="1" ht="18.399999999999999" customHeight="1">
      <c r="A189" s="256"/>
      <c r="B189" s="257" t="s">
        <v>822</v>
      </c>
      <c r="C189" s="293"/>
      <c r="D189" s="258">
        <v>10000000</v>
      </c>
      <c r="E189" s="258">
        <f>16852342-2058000</f>
        <v>14794342</v>
      </c>
      <c r="F189" s="258">
        <v>10000000</v>
      </c>
      <c r="G189" s="259">
        <f>E189-D189</f>
        <v>4794342</v>
      </c>
      <c r="H189" s="295"/>
      <c r="I189" s="299"/>
      <c r="J189" s="262"/>
      <c r="K189" s="263"/>
    </row>
    <row r="190" spans="1:13" s="264" customFormat="1" ht="18.399999999999999" customHeight="1">
      <c r="A190" s="256"/>
      <c r="B190" s="257"/>
      <c r="C190" s="293" t="s">
        <v>148</v>
      </c>
      <c r="D190" s="258"/>
      <c r="E190" s="258"/>
      <c r="F190" s="258"/>
      <c r="G190" s="259"/>
      <c r="H190" s="295" t="s">
        <v>148</v>
      </c>
      <c r="I190" s="261" t="s">
        <v>821</v>
      </c>
      <c r="J190" s="262">
        <v>6895100</v>
      </c>
      <c r="K190" s="263"/>
    </row>
    <row r="191" spans="1:13" s="264" customFormat="1" ht="18.399999999999999" customHeight="1">
      <c r="A191" s="256"/>
      <c r="B191" s="257"/>
      <c r="C191" s="293" t="s">
        <v>150</v>
      </c>
      <c r="D191" s="258"/>
      <c r="E191" s="258"/>
      <c r="F191" s="258"/>
      <c r="G191" s="259"/>
      <c r="H191" s="295" t="s">
        <v>150</v>
      </c>
      <c r="I191" s="261" t="s">
        <v>821</v>
      </c>
      <c r="J191" s="308">
        <f>9957242-2058000</f>
        <v>7899242</v>
      </c>
      <c r="K191" s="263"/>
    </row>
    <row r="192" spans="1:13" s="264" customFormat="1" ht="18.399999999999999" customHeight="1">
      <c r="A192" s="256"/>
      <c r="B192" s="265"/>
      <c r="C192" s="303"/>
      <c r="D192" s="266"/>
      <c r="E192" s="266"/>
      <c r="F192" s="266"/>
      <c r="G192" s="267"/>
      <c r="H192" s="302"/>
      <c r="I192" s="298"/>
      <c r="J192" s="270"/>
      <c r="K192" s="263"/>
    </row>
    <row r="193" spans="1:11" s="264" customFormat="1" ht="18.399999999999999" customHeight="1">
      <c r="A193" s="256"/>
      <c r="B193" s="257" t="s">
        <v>1046</v>
      </c>
      <c r="C193" s="293"/>
      <c r="D193" s="258">
        <f>16312500+4905000</f>
        <v>21217500</v>
      </c>
      <c r="E193" s="258">
        <f>42948944+5344162</f>
        <v>48293106</v>
      </c>
      <c r="F193" s="258">
        <f>16312500+4905000</f>
        <v>21217500</v>
      </c>
      <c r="G193" s="259">
        <f>E193-D193</f>
        <v>27075606</v>
      </c>
      <c r="H193" s="295"/>
      <c r="I193" s="299"/>
      <c r="J193" s="262"/>
      <c r="K193" s="263"/>
    </row>
    <row r="194" spans="1:11" s="264" customFormat="1" ht="18.399999999999999" customHeight="1">
      <c r="A194" s="256"/>
      <c r="B194" s="257"/>
      <c r="C194" s="293" t="s">
        <v>1047</v>
      </c>
      <c r="D194" s="258"/>
      <c r="E194" s="258"/>
      <c r="F194" s="258"/>
      <c r="G194" s="259"/>
      <c r="H194" s="295" t="s">
        <v>1047</v>
      </c>
      <c r="I194" s="261" t="s">
        <v>821</v>
      </c>
      <c r="J194" s="262">
        <f>4434500+909662</f>
        <v>5344162</v>
      </c>
      <c r="K194" s="263"/>
    </row>
    <row r="195" spans="1:11" s="264" customFormat="1" ht="18.399999999999999" customHeight="1">
      <c r="A195" s="256"/>
      <c r="B195" s="257"/>
      <c r="C195" s="293" t="s">
        <v>148</v>
      </c>
      <c r="D195" s="258"/>
      <c r="E195" s="258"/>
      <c r="F195" s="258"/>
      <c r="G195" s="259"/>
      <c r="H195" s="295" t="s">
        <v>148</v>
      </c>
      <c r="I195" s="261" t="s">
        <v>821</v>
      </c>
      <c r="J195" s="262">
        <v>25767100</v>
      </c>
      <c r="K195" s="263"/>
    </row>
    <row r="196" spans="1:11" s="264" customFormat="1" ht="18.399999999999999" customHeight="1">
      <c r="A196" s="256"/>
      <c r="B196" s="257"/>
      <c r="C196" s="293" t="s">
        <v>150</v>
      </c>
      <c r="D196" s="258"/>
      <c r="E196" s="258"/>
      <c r="F196" s="258"/>
      <c r="G196" s="259"/>
      <c r="H196" s="295" t="s">
        <v>150</v>
      </c>
      <c r="I196" s="261" t="s">
        <v>821</v>
      </c>
      <c r="J196" s="262">
        <f>1462161+4153664+7612293+1103900</f>
        <v>14332018</v>
      </c>
      <c r="K196" s="263"/>
    </row>
    <row r="197" spans="1:11" s="264" customFormat="1" ht="18.399999999999999" customHeight="1">
      <c r="A197" s="256"/>
      <c r="B197" s="257"/>
      <c r="C197" s="293" t="s">
        <v>824</v>
      </c>
      <c r="D197" s="258"/>
      <c r="E197" s="258"/>
      <c r="F197" s="258"/>
      <c r="G197" s="259"/>
      <c r="H197" s="295" t="s">
        <v>824</v>
      </c>
      <c r="I197" s="261" t="s">
        <v>821</v>
      </c>
      <c r="J197" s="262">
        <v>760186</v>
      </c>
      <c r="K197" s="263"/>
    </row>
    <row r="198" spans="1:11" s="264" customFormat="1" ht="18.399999999999999" customHeight="1">
      <c r="A198" s="256"/>
      <c r="B198" s="257"/>
      <c r="C198" s="293" t="s">
        <v>1048</v>
      </c>
      <c r="D198" s="258"/>
      <c r="E198" s="258"/>
      <c r="F198" s="258"/>
      <c r="G198" s="259"/>
      <c r="H198" s="295" t="s">
        <v>1048</v>
      </c>
      <c r="I198" s="261" t="s">
        <v>821</v>
      </c>
      <c r="J198" s="262">
        <v>2089640</v>
      </c>
      <c r="K198" s="263"/>
    </row>
    <row r="199" spans="1:11" s="264" customFormat="1" ht="18.399999999999999" customHeight="1">
      <c r="A199" s="256"/>
      <c r="B199" s="265"/>
      <c r="C199" s="303"/>
      <c r="D199" s="266"/>
      <c r="E199" s="266"/>
      <c r="F199" s="266"/>
      <c r="G199" s="267"/>
      <c r="H199" s="302"/>
      <c r="I199" s="298"/>
      <c r="J199" s="270"/>
      <c r="K199" s="263"/>
    </row>
    <row r="200" spans="1:11" s="264" customFormat="1" ht="18.399999999999999" customHeight="1">
      <c r="A200" s="256"/>
      <c r="B200" s="257" t="s">
        <v>1049</v>
      </c>
      <c r="C200" s="293"/>
      <c r="D200" s="258">
        <v>40400000</v>
      </c>
      <c r="E200" s="258">
        <f>683020+2586652+1080880+15510145+16592504</f>
        <v>36453201</v>
      </c>
      <c r="F200" s="258">
        <v>40400000</v>
      </c>
      <c r="G200" s="259">
        <f>E200-D200</f>
        <v>-3946799</v>
      </c>
      <c r="H200" s="295"/>
      <c r="I200" s="299"/>
      <c r="J200" s="262"/>
      <c r="K200" s="263"/>
    </row>
    <row r="201" spans="1:11" s="264" customFormat="1" ht="18.399999999999999" customHeight="1">
      <c r="A201" s="256"/>
      <c r="B201" s="257"/>
      <c r="C201" s="293" t="s">
        <v>148</v>
      </c>
      <c r="D201" s="258"/>
      <c r="E201" s="258"/>
      <c r="F201" s="258"/>
      <c r="G201" s="259"/>
      <c r="H201" s="295" t="s">
        <v>148</v>
      </c>
      <c r="I201" s="261" t="s">
        <v>821</v>
      </c>
      <c r="J201" s="262">
        <v>15369700</v>
      </c>
      <c r="K201" s="263"/>
    </row>
    <row r="202" spans="1:11" s="264" customFormat="1" ht="18.399999999999999" customHeight="1">
      <c r="A202" s="256"/>
      <c r="B202" s="257"/>
      <c r="C202" s="293" t="s">
        <v>150</v>
      </c>
      <c r="D202" s="258"/>
      <c r="E202" s="258"/>
      <c r="F202" s="258"/>
      <c r="G202" s="259"/>
      <c r="H202" s="295" t="s">
        <v>150</v>
      </c>
      <c r="I202" s="261" t="s">
        <v>821</v>
      </c>
      <c r="J202" s="308">
        <f>2453802+1043722+15510145</f>
        <v>19007669</v>
      </c>
      <c r="K202" s="263"/>
    </row>
    <row r="203" spans="1:11" s="264" customFormat="1" ht="18.399999999999999" customHeight="1">
      <c r="A203" s="256"/>
      <c r="B203" s="257"/>
      <c r="C203" s="293" t="s">
        <v>1027</v>
      </c>
      <c r="D203" s="258"/>
      <c r="E203" s="258"/>
      <c r="F203" s="258"/>
      <c r="G203" s="259"/>
      <c r="H203" s="295" t="s">
        <v>1027</v>
      </c>
      <c r="I203" s="261" t="s">
        <v>821</v>
      </c>
      <c r="J203" s="262">
        <v>2075832</v>
      </c>
      <c r="K203" s="263"/>
    </row>
    <row r="204" spans="1:11" s="264" customFormat="1" ht="18.399999999999999" customHeight="1">
      <c r="A204" s="256"/>
      <c r="B204" s="265"/>
      <c r="C204" s="303"/>
      <c r="D204" s="266"/>
      <c r="E204" s="266"/>
      <c r="F204" s="266"/>
      <c r="G204" s="267"/>
      <c r="H204" s="302"/>
      <c r="I204" s="298"/>
      <c r="J204" s="270"/>
      <c r="K204" s="263"/>
    </row>
    <row r="205" spans="1:11" s="264" customFormat="1" ht="18.399999999999999" customHeight="1">
      <c r="A205" s="256"/>
      <c r="B205" s="257" t="s">
        <v>1050</v>
      </c>
      <c r="C205" s="293"/>
      <c r="D205" s="258">
        <v>75376000</v>
      </c>
      <c r="E205" s="258">
        <f>3785580+560059+35198800+27339660</f>
        <v>66884099</v>
      </c>
      <c r="F205" s="258">
        <v>75376000</v>
      </c>
      <c r="G205" s="259">
        <f>E205-D205</f>
        <v>-8491901</v>
      </c>
      <c r="H205" s="295"/>
      <c r="I205" s="299"/>
      <c r="J205" s="262"/>
      <c r="K205" s="263"/>
    </row>
    <row r="206" spans="1:11" s="264" customFormat="1" ht="18.399999999999999" customHeight="1">
      <c r="A206" s="256"/>
      <c r="B206" s="257"/>
      <c r="C206" s="293" t="s">
        <v>148</v>
      </c>
      <c r="D206" s="258"/>
      <c r="E206" s="258"/>
      <c r="F206" s="258"/>
      <c r="G206" s="259"/>
      <c r="H206" s="295" t="s">
        <v>148</v>
      </c>
      <c r="I206" s="261" t="s">
        <v>821</v>
      </c>
      <c r="J206" s="262">
        <v>23307660</v>
      </c>
      <c r="K206" s="263"/>
    </row>
    <row r="207" spans="1:11" s="264" customFormat="1" ht="18.399999999999999" customHeight="1">
      <c r="A207" s="256"/>
      <c r="B207" s="257"/>
      <c r="C207" s="293" t="s">
        <v>150</v>
      </c>
      <c r="D207" s="258"/>
      <c r="E207" s="258"/>
      <c r="F207" s="258"/>
      <c r="G207" s="259"/>
      <c r="H207" s="295" t="s">
        <v>150</v>
      </c>
      <c r="I207" s="261" t="s">
        <v>821</v>
      </c>
      <c r="J207" s="308">
        <f>29388800+24900+845580+535159</f>
        <v>30794439</v>
      </c>
      <c r="K207" s="263"/>
    </row>
    <row r="208" spans="1:11" s="264" customFormat="1" ht="18.399999999999999" customHeight="1">
      <c r="A208" s="256"/>
      <c r="B208" s="257"/>
      <c r="C208" s="293" t="s">
        <v>1051</v>
      </c>
      <c r="D208" s="258"/>
      <c r="E208" s="258"/>
      <c r="F208" s="258"/>
      <c r="G208" s="259"/>
      <c r="H208" s="295" t="s">
        <v>1051</v>
      </c>
      <c r="I208" s="261" t="s">
        <v>821</v>
      </c>
      <c r="J208" s="262">
        <v>4032000</v>
      </c>
      <c r="K208" s="263"/>
    </row>
    <row r="209" spans="1:11" s="264" customFormat="1" ht="18.399999999999999" customHeight="1">
      <c r="A209" s="256"/>
      <c r="B209" s="257"/>
      <c r="C209" s="293" t="s">
        <v>222</v>
      </c>
      <c r="D209" s="258"/>
      <c r="E209" s="258"/>
      <c r="F209" s="258"/>
      <c r="G209" s="259"/>
      <c r="H209" s="295" t="s">
        <v>222</v>
      </c>
      <c r="I209" s="261" t="s">
        <v>821</v>
      </c>
      <c r="J209" s="262">
        <v>660000</v>
      </c>
      <c r="K209" s="263"/>
    </row>
    <row r="210" spans="1:11" s="264" customFormat="1" ht="18.399999999999999" customHeight="1">
      <c r="A210" s="256"/>
      <c r="B210" s="257"/>
      <c r="C210" s="293" t="s">
        <v>1052</v>
      </c>
      <c r="D210" s="258"/>
      <c r="E210" s="258"/>
      <c r="F210" s="258"/>
      <c r="G210" s="259"/>
      <c r="H210" s="295" t="s">
        <v>1052</v>
      </c>
      <c r="I210" s="261" t="s">
        <v>821</v>
      </c>
      <c r="J210" s="262">
        <v>1130000</v>
      </c>
      <c r="K210" s="263"/>
    </row>
    <row r="211" spans="1:11" s="264" customFormat="1" ht="18.399999999999999" customHeight="1">
      <c r="A211" s="256"/>
      <c r="B211" s="257"/>
      <c r="C211" s="293" t="s">
        <v>1053</v>
      </c>
      <c r="D211" s="258"/>
      <c r="E211" s="258"/>
      <c r="F211" s="258"/>
      <c r="G211" s="259"/>
      <c r="H211" s="295" t="s">
        <v>1053</v>
      </c>
      <c r="I211" s="261" t="s">
        <v>821</v>
      </c>
      <c r="J211" s="262">
        <v>4680000</v>
      </c>
      <c r="K211" s="263"/>
    </row>
    <row r="212" spans="1:11" s="264" customFormat="1" ht="18.399999999999999" customHeight="1">
      <c r="A212" s="256"/>
      <c r="B212" s="257"/>
      <c r="C212" s="293" t="s">
        <v>1054</v>
      </c>
      <c r="D212" s="258"/>
      <c r="E212" s="258"/>
      <c r="F212" s="258"/>
      <c r="G212" s="259"/>
      <c r="H212" s="295" t="s">
        <v>1054</v>
      </c>
      <c r="I212" s="261" t="s">
        <v>821</v>
      </c>
      <c r="J212" s="262">
        <v>2280000</v>
      </c>
      <c r="K212" s="263"/>
    </row>
    <row r="213" spans="1:11" s="264" customFormat="1" ht="18.399999999999999" customHeight="1">
      <c r="A213" s="256"/>
      <c r="B213" s="265"/>
      <c r="C213" s="303"/>
      <c r="D213" s="266"/>
      <c r="E213" s="266"/>
      <c r="F213" s="266"/>
      <c r="G213" s="267"/>
      <c r="H213" s="302"/>
      <c r="I213" s="298"/>
      <c r="J213" s="270"/>
      <c r="K213" s="263"/>
    </row>
    <row r="214" spans="1:11" s="264" customFormat="1" ht="18.399999999999999" customHeight="1">
      <c r="A214" s="256"/>
      <c r="B214" s="257" t="s">
        <v>1055</v>
      </c>
      <c r="C214" s="293"/>
      <c r="D214" s="258">
        <f>92010000+154441000</f>
        <v>246451000</v>
      </c>
      <c r="E214" s="258">
        <f>112367982+204202342</f>
        <v>316570324</v>
      </c>
      <c r="F214" s="258">
        <f>92010000+154441000</f>
        <v>246451000</v>
      </c>
      <c r="G214" s="259">
        <f>E214-D214</f>
        <v>70119324</v>
      </c>
      <c r="H214" s="295"/>
      <c r="I214" s="299"/>
      <c r="J214" s="262"/>
      <c r="K214" s="263"/>
    </row>
    <row r="215" spans="1:11" s="264" customFormat="1" ht="18.399999999999999" customHeight="1">
      <c r="A215" s="256"/>
      <c r="B215" s="257"/>
      <c r="C215" s="293" t="s">
        <v>148</v>
      </c>
      <c r="D215" s="258"/>
      <c r="E215" s="258"/>
      <c r="F215" s="258"/>
      <c r="G215" s="259"/>
      <c r="H215" s="295" t="s">
        <v>148</v>
      </c>
      <c r="I215" s="261" t="s">
        <v>821</v>
      </c>
      <c r="J215" s="262">
        <v>110281100</v>
      </c>
      <c r="K215" s="263"/>
    </row>
    <row r="216" spans="1:11" s="264" customFormat="1" ht="18.399999999999999" customHeight="1">
      <c r="A216" s="256"/>
      <c r="B216" s="257"/>
      <c r="C216" s="293" t="s">
        <v>150</v>
      </c>
      <c r="D216" s="258"/>
      <c r="E216" s="258"/>
      <c r="F216" s="258"/>
      <c r="G216" s="259"/>
      <c r="H216" s="295" t="s">
        <v>150</v>
      </c>
      <c r="I216" s="261" t="s">
        <v>821</v>
      </c>
      <c r="J216" s="308">
        <f>1831880+21216112+6209591+116819604</f>
        <v>146077187</v>
      </c>
      <c r="K216" s="263"/>
    </row>
    <row r="217" spans="1:11" s="264" customFormat="1" ht="18.399999999999999" customHeight="1">
      <c r="A217" s="256"/>
      <c r="B217" s="257"/>
      <c r="C217" s="293" t="s">
        <v>1051</v>
      </c>
      <c r="D217" s="258"/>
      <c r="E217" s="258"/>
      <c r="F217" s="258"/>
      <c r="G217" s="259"/>
      <c r="H217" s="295" t="s">
        <v>1051</v>
      </c>
      <c r="I217" s="261" t="s">
        <v>821</v>
      </c>
      <c r="J217" s="262">
        <v>8124103</v>
      </c>
      <c r="K217" s="263"/>
    </row>
    <row r="218" spans="1:11" s="264" customFormat="1" ht="18.399999999999999" customHeight="1">
      <c r="A218" s="256"/>
      <c r="B218" s="257"/>
      <c r="C218" s="293" t="s">
        <v>222</v>
      </c>
      <c r="D218" s="258"/>
      <c r="E218" s="258"/>
      <c r="F218" s="258"/>
      <c r="G218" s="259"/>
      <c r="H218" s="295" t="s">
        <v>222</v>
      </c>
      <c r="I218" s="261" t="s">
        <v>821</v>
      </c>
      <c r="J218" s="262">
        <v>13297207</v>
      </c>
      <c r="K218" s="263"/>
    </row>
    <row r="219" spans="1:11" s="264" customFormat="1" ht="18.399999999999999" customHeight="1">
      <c r="A219" s="256"/>
      <c r="B219" s="257"/>
      <c r="C219" s="293" t="s">
        <v>1052</v>
      </c>
      <c r="D219" s="258"/>
      <c r="E219" s="258"/>
      <c r="F219" s="258"/>
      <c r="G219" s="259"/>
      <c r="H219" s="295" t="s">
        <v>1052</v>
      </c>
      <c r="I219" s="261" t="s">
        <v>821</v>
      </c>
      <c r="J219" s="262">
        <v>4053700</v>
      </c>
      <c r="K219" s="263"/>
    </row>
    <row r="220" spans="1:11" s="264" customFormat="1" ht="18.399999999999999" customHeight="1">
      <c r="A220" s="256"/>
      <c r="B220" s="257"/>
      <c r="C220" s="293" t="s">
        <v>1056</v>
      </c>
      <c r="D220" s="258"/>
      <c r="E220" s="258"/>
      <c r="F220" s="258"/>
      <c r="G220" s="259"/>
      <c r="H220" s="295" t="s">
        <v>1056</v>
      </c>
      <c r="I220" s="261" t="s">
        <v>821</v>
      </c>
      <c r="J220" s="262">
        <v>6779004</v>
      </c>
      <c r="K220" s="263"/>
    </row>
    <row r="221" spans="1:11" s="264" customFormat="1" ht="18.399999999999999" customHeight="1">
      <c r="A221" s="256"/>
      <c r="B221" s="257"/>
      <c r="C221" s="293" t="s">
        <v>1057</v>
      </c>
      <c r="D221" s="258"/>
      <c r="E221" s="258"/>
      <c r="F221" s="258"/>
      <c r="G221" s="259"/>
      <c r="H221" s="295" t="s">
        <v>1057</v>
      </c>
      <c r="I221" s="261" t="s">
        <v>821</v>
      </c>
      <c r="J221" s="262">
        <v>3600383</v>
      </c>
      <c r="K221" s="263"/>
    </row>
    <row r="222" spans="1:11" s="264" customFormat="1" ht="18.399999999999999" customHeight="1">
      <c r="A222" s="256"/>
      <c r="B222" s="257"/>
      <c r="C222" s="293" t="s">
        <v>46</v>
      </c>
      <c r="D222" s="258"/>
      <c r="E222" s="258"/>
      <c r="F222" s="258"/>
      <c r="G222" s="259"/>
      <c r="H222" s="295" t="s">
        <v>46</v>
      </c>
      <c r="I222" s="261" t="s">
        <v>821</v>
      </c>
      <c r="J222" s="262">
        <v>5166520</v>
      </c>
      <c r="K222" s="263"/>
    </row>
    <row r="223" spans="1:11" s="264" customFormat="1" ht="18.399999999999999" customHeight="1">
      <c r="A223" s="256"/>
      <c r="B223" s="257"/>
      <c r="C223" s="293" t="s">
        <v>820</v>
      </c>
      <c r="D223" s="258"/>
      <c r="E223" s="258"/>
      <c r="F223" s="258"/>
      <c r="G223" s="259"/>
      <c r="H223" s="295" t="s">
        <v>820</v>
      </c>
      <c r="I223" s="261" t="s">
        <v>821</v>
      </c>
      <c r="J223" s="262">
        <v>9231720</v>
      </c>
      <c r="K223" s="263"/>
    </row>
    <row r="224" spans="1:11" s="264" customFormat="1" ht="18.399999999999999" customHeight="1">
      <c r="A224" s="256"/>
      <c r="B224" s="257"/>
      <c r="C224" s="293" t="s">
        <v>1058</v>
      </c>
      <c r="D224" s="258"/>
      <c r="E224" s="258"/>
      <c r="F224" s="258"/>
      <c r="G224" s="259"/>
      <c r="H224" s="295" t="s">
        <v>1058</v>
      </c>
      <c r="I224" s="261" t="s">
        <v>821</v>
      </c>
      <c r="J224" s="262">
        <f>10258600-299200</f>
        <v>9959400</v>
      </c>
      <c r="K224" s="263"/>
    </row>
    <row r="225" spans="1:11" s="264" customFormat="1" ht="18.399999999999999" customHeight="1">
      <c r="A225" s="256"/>
      <c r="B225" s="265"/>
      <c r="C225" s="303"/>
      <c r="D225" s="266"/>
      <c r="E225" s="266"/>
      <c r="F225" s="266"/>
      <c r="G225" s="267"/>
      <c r="H225" s="302"/>
      <c r="I225" s="298"/>
      <c r="J225" s="270"/>
      <c r="K225" s="263"/>
    </row>
    <row r="226" spans="1:11" s="264" customFormat="1" ht="17.25" customHeight="1">
      <c r="A226" s="256"/>
      <c r="B226" s="293" t="s">
        <v>1059</v>
      </c>
      <c r="C226" s="293"/>
      <c r="D226" s="258">
        <v>10000000</v>
      </c>
      <c r="E226" s="258">
        <v>10674900</v>
      </c>
      <c r="F226" s="258">
        <v>10000000</v>
      </c>
      <c r="G226" s="259">
        <f>E226-D226</f>
        <v>674900</v>
      </c>
      <c r="H226" s="260"/>
      <c r="I226" s="299"/>
      <c r="J226" s="262"/>
      <c r="K226" s="263"/>
    </row>
    <row r="227" spans="1:11" s="264" customFormat="1" ht="17.25" customHeight="1">
      <c r="A227" s="256"/>
      <c r="B227" s="293"/>
      <c r="C227" s="293" t="s">
        <v>58</v>
      </c>
      <c r="D227" s="258"/>
      <c r="E227" s="258"/>
      <c r="F227" s="258"/>
      <c r="G227" s="259"/>
      <c r="H227" s="295" t="s">
        <v>58</v>
      </c>
      <c r="I227" s="261" t="s">
        <v>821</v>
      </c>
      <c r="J227" s="262">
        <v>300000</v>
      </c>
      <c r="K227" s="263"/>
    </row>
    <row r="228" spans="1:11" s="264" customFormat="1" ht="17.25" customHeight="1">
      <c r="A228" s="256"/>
      <c r="B228" s="293"/>
      <c r="C228" s="293" t="s">
        <v>993</v>
      </c>
      <c r="D228" s="258"/>
      <c r="E228" s="258"/>
      <c r="F228" s="258"/>
      <c r="G228" s="259"/>
      <c r="H228" s="295" t="s">
        <v>993</v>
      </c>
      <c r="I228" s="261" t="s">
        <v>821</v>
      </c>
      <c r="J228" s="262">
        <v>374900</v>
      </c>
      <c r="K228" s="263"/>
    </row>
    <row r="229" spans="1:11" s="264" customFormat="1" ht="17.25" customHeight="1">
      <c r="A229" s="256"/>
      <c r="B229" s="293"/>
      <c r="C229" s="293" t="s">
        <v>1051</v>
      </c>
      <c r="D229" s="258"/>
      <c r="E229" s="258"/>
      <c r="F229" s="258"/>
      <c r="G229" s="259"/>
      <c r="H229" s="295" t="s">
        <v>1051</v>
      </c>
      <c r="I229" s="261" t="s">
        <v>821</v>
      </c>
      <c r="J229" s="262">
        <v>10000000</v>
      </c>
      <c r="K229" s="263"/>
    </row>
    <row r="230" spans="1:11" s="264" customFormat="1" ht="17.25" customHeight="1">
      <c r="A230" s="256"/>
      <c r="B230" s="265"/>
      <c r="C230" s="296"/>
      <c r="D230" s="266"/>
      <c r="E230" s="266"/>
      <c r="F230" s="266"/>
      <c r="G230" s="267"/>
      <c r="H230" s="300"/>
      <c r="I230" s="269"/>
      <c r="J230" s="270"/>
      <c r="K230" s="263"/>
    </row>
    <row r="231" spans="1:11" s="264" customFormat="1" ht="18.399999999999999" customHeight="1">
      <c r="A231" s="256"/>
      <c r="B231" s="257" t="s">
        <v>1060</v>
      </c>
      <c r="C231" s="293"/>
      <c r="D231" s="258">
        <v>257815000</v>
      </c>
      <c r="E231" s="258">
        <v>229838786</v>
      </c>
      <c r="F231" s="258">
        <v>257815000</v>
      </c>
      <c r="G231" s="259">
        <f>E231-D231</f>
        <v>-27976214</v>
      </c>
      <c r="H231" s="295"/>
      <c r="I231" s="299"/>
      <c r="J231" s="262"/>
      <c r="K231" s="263"/>
    </row>
    <row r="232" spans="1:11" s="264" customFormat="1" ht="18.399999999999999" customHeight="1">
      <c r="A232" s="256"/>
      <c r="B232" s="257"/>
      <c r="C232" s="293" t="s">
        <v>148</v>
      </c>
      <c r="D232" s="258"/>
      <c r="E232" s="258"/>
      <c r="F232" s="258"/>
      <c r="G232" s="259"/>
      <c r="H232" s="295" t="s">
        <v>148</v>
      </c>
      <c r="I232" s="261" t="s">
        <v>821</v>
      </c>
      <c r="J232" s="262">
        <v>83095200</v>
      </c>
      <c r="K232" s="263"/>
    </row>
    <row r="233" spans="1:11" s="264" customFormat="1" ht="18.399999999999999" customHeight="1">
      <c r="A233" s="256"/>
      <c r="B233" s="257"/>
      <c r="C233" s="293" t="s">
        <v>150</v>
      </c>
      <c r="D233" s="258"/>
      <c r="E233" s="258"/>
      <c r="F233" s="258"/>
      <c r="G233" s="259"/>
      <c r="H233" s="295" t="s">
        <v>150</v>
      </c>
      <c r="I233" s="261" t="s">
        <v>821</v>
      </c>
      <c r="J233" s="308">
        <f>22391000+24863520</f>
        <v>47254520</v>
      </c>
      <c r="K233" s="263"/>
    </row>
    <row r="234" spans="1:11" s="264" customFormat="1" ht="18.399999999999999" customHeight="1">
      <c r="A234" s="256"/>
      <c r="B234" s="257"/>
      <c r="C234" s="293" t="s">
        <v>71</v>
      </c>
      <c r="D234" s="258"/>
      <c r="E234" s="258"/>
      <c r="F234" s="258"/>
      <c r="G234" s="259"/>
      <c r="H234" s="295" t="s">
        <v>71</v>
      </c>
      <c r="I234" s="261" t="s">
        <v>821</v>
      </c>
      <c r="J234" s="262">
        <v>1584000</v>
      </c>
      <c r="K234" s="263"/>
    </row>
    <row r="235" spans="1:11" s="264" customFormat="1" ht="18.399999999999999" customHeight="1">
      <c r="A235" s="256"/>
      <c r="B235" s="257"/>
      <c r="C235" s="293" t="s">
        <v>35</v>
      </c>
      <c r="D235" s="258"/>
      <c r="E235" s="258"/>
      <c r="F235" s="258"/>
      <c r="G235" s="259"/>
      <c r="H235" s="295" t="s">
        <v>35</v>
      </c>
      <c r="I235" s="261" t="s">
        <v>821</v>
      </c>
      <c r="J235" s="262">
        <v>4154980</v>
      </c>
      <c r="K235" s="263"/>
    </row>
    <row r="236" spans="1:11" s="264" customFormat="1" ht="18.399999999999999" customHeight="1">
      <c r="A236" s="256"/>
      <c r="B236" s="257"/>
      <c r="C236" s="293" t="s">
        <v>1053</v>
      </c>
      <c r="D236" s="258"/>
      <c r="E236" s="258"/>
      <c r="F236" s="258"/>
      <c r="G236" s="259"/>
      <c r="H236" s="295" t="s">
        <v>1053</v>
      </c>
      <c r="I236" s="261" t="s">
        <v>821</v>
      </c>
      <c r="J236" s="262">
        <v>6448186</v>
      </c>
      <c r="K236" s="263"/>
    </row>
    <row r="237" spans="1:11" s="264" customFormat="1" ht="18.399999999999999" customHeight="1">
      <c r="A237" s="256"/>
      <c r="B237" s="257"/>
      <c r="C237" s="293" t="s">
        <v>44</v>
      </c>
      <c r="D237" s="258"/>
      <c r="E237" s="258"/>
      <c r="F237" s="258"/>
      <c r="G237" s="259"/>
      <c r="H237" s="295" t="s">
        <v>44</v>
      </c>
      <c r="I237" s="261" t="s">
        <v>821</v>
      </c>
      <c r="J237" s="262">
        <f>93841000-9538500</f>
        <v>84302500</v>
      </c>
      <c r="K237" s="263"/>
    </row>
    <row r="238" spans="1:11" s="264" customFormat="1" ht="18.399999999999999" customHeight="1">
      <c r="A238" s="256"/>
      <c r="B238" s="257"/>
      <c r="C238" s="293" t="s">
        <v>37</v>
      </c>
      <c r="D238" s="258"/>
      <c r="E238" s="258"/>
      <c r="F238" s="258"/>
      <c r="G238" s="259"/>
      <c r="H238" s="295" t="s">
        <v>37</v>
      </c>
      <c r="I238" s="261" t="s">
        <v>821</v>
      </c>
      <c r="J238" s="262">
        <v>1187910</v>
      </c>
      <c r="K238" s="263"/>
    </row>
    <row r="239" spans="1:11" s="264" customFormat="1" ht="18.399999999999999" customHeight="1">
      <c r="A239" s="256"/>
      <c r="B239" s="257"/>
      <c r="C239" s="293" t="s">
        <v>46</v>
      </c>
      <c r="D239" s="258"/>
      <c r="E239" s="258"/>
      <c r="F239" s="258"/>
      <c r="G239" s="259"/>
      <c r="H239" s="295" t="s">
        <v>46</v>
      </c>
      <c r="I239" s="261" t="s">
        <v>821</v>
      </c>
      <c r="J239" s="262">
        <v>1199600</v>
      </c>
      <c r="K239" s="263"/>
    </row>
    <row r="240" spans="1:11" s="264" customFormat="1" ht="18.399999999999999" customHeight="1">
      <c r="A240" s="256"/>
      <c r="B240" s="257"/>
      <c r="C240" s="293" t="s">
        <v>1061</v>
      </c>
      <c r="D240" s="258"/>
      <c r="E240" s="258"/>
      <c r="F240" s="258"/>
      <c r="G240" s="259"/>
      <c r="H240" s="295" t="s">
        <v>1061</v>
      </c>
      <c r="I240" s="261" t="s">
        <v>821</v>
      </c>
      <c r="J240" s="262">
        <v>611890</v>
      </c>
      <c r="K240" s="263"/>
    </row>
    <row r="241" spans="1:11" s="264" customFormat="1" ht="18.399999999999999" customHeight="1">
      <c r="A241" s="256"/>
      <c r="B241" s="265"/>
      <c r="C241" s="303"/>
      <c r="D241" s="266"/>
      <c r="E241" s="266"/>
      <c r="F241" s="266"/>
      <c r="G241" s="267"/>
      <c r="H241" s="302"/>
      <c r="I241" s="298"/>
      <c r="J241" s="270"/>
      <c r="K241" s="263"/>
    </row>
    <row r="242" spans="1:11" s="264" customFormat="1" ht="18.399999999999999" customHeight="1">
      <c r="A242" s="256"/>
      <c r="B242" s="257" t="s">
        <v>1062</v>
      </c>
      <c r="C242" s="293"/>
      <c r="D242" s="258">
        <v>171719000</v>
      </c>
      <c r="E242" s="258">
        <v>149559003</v>
      </c>
      <c r="F242" s="258">
        <v>171719000</v>
      </c>
      <c r="G242" s="259">
        <f>E242-D242</f>
        <v>-22159997</v>
      </c>
      <c r="H242" s="295"/>
      <c r="I242" s="299"/>
      <c r="J242" s="262"/>
      <c r="K242" s="263"/>
    </row>
    <row r="243" spans="1:11" s="264" customFormat="1" ht="18.399999999999999" customHeight="1">
      <c r="A243" s="256"/>
      <c r="B243" s="257"/>
      <c r="C243" s="293" t="s">
        <v>148</v>
      </c>
      <c r="D243" s="258"/>
      <c r="E243" s="258"/>
      <c r="F243" s="258"/>
      <c r="G243" s="259"/>
      <c r="H243" s="295" t="s">
        <v>148</v>
      </c>
      <c r="I243" s="261" t="s">
        <v>821</v>
      </c>
      <c r="J243" s="262">
        <v>73486386</v>
      </c>
      <c r="K243" s="263"/>
    </row>
    <row r="244" spans="1:11" s="264" customFormat="1" ht="18.399999999999999" customHeight="1">
      <c r="A244" s="256"/>
      <c r="B244" s="257"/>
      <c r="C244" s="293" t="s">
        <v>150</v>
      </c>
      <c r="D244" s="258"/>
      <c r="E244" s="258"/>
      <c r="F244" s="258"/>
      <c r="G244" s="259"/>
      <c r="H244" s="295" t="s">
        <v>150</v>
      </c>
      <c r="I244" s="261" t="s">
        <v>821</v>
      </c>
      <c r="J244" s="308">
        <f>1089000+1658900+51949159</f>
        <v>54697059</v>
      </c>
      <c r="K244" s="263"/>
    </row>
    <row r="245" spans="1:11" s="264" customFormat="1" ht="18.399999999999999" customHeight="1">
      <c r="A245" s="256"/>
      <c r="B245" s="257"/>
      <c r="C245" s="293" t="s">
        <v>1051</v>
      </c>
      <c r="D245" s="258"/>
      <c r="E245" s="258"/>
      <c r="F245" s="258"/>
      <c r="G245" s="259"/>
      <c r="H245" s="295" t="s">
        <v>1051</v>
      </c>
      <c r="I245" s="261" t="s">
        <v>821</v>
      </c>
      <c r="J245" s="262">
        <v>3464610</v>
      </c>
      <c r="K245" s="263"/>
    </row>
    <row r="246" spans="1:11" s="264" customFormat="1" ht="18.399999999999999" customHeight="1">
      <c r="A246" s="256"/>
      <c r="B246" s="257"/>
      <c r="C246" s="293" t="s">
        <v>1052</v>
      </c>
      <c r="D246" s="258"/>
      <c r="E246" s="258"/>
      <c r="F246" s="258"/>
      <c r="G246" s="259"/>
      <c r="H246" s="295" t="s">
        <v>1052</v>
      </c>
      <c r="I246" s="261" t="s">
        <v>821</v>
      </c>
      <c r="J246" s="262">
        <v>1429800</v>
      </c>
      <c r="K246" s="263"/>
    </row>
    <row r="247" spans="1:11" s="264" customFormat="1" ht="18.399999999999999" customHeight="1">
      <c r="A247" s="256"/>
      <c r="B247" s="257"/>
      <c r="C247" s="293" t="s">
        <v>1053</v>
      </c>
      <c r="D247" s="258"/>
      <c r="E247" s="258"/>
      <c r="F247" s="258"/>
      <c r="G247" s="259"/>
      <c r="H247" s="295" t="s">
        <v>1053</v>
      </c>
      <c r="I247" s="261" t="s">
        <v>821</v>
      </c>
      <c r="J247" s="262">
        <v>5440000</v>
      </c>
      <c r="K247" s="263"/>
    </row>
    <row r="248" spans="1:11" s="264" customFormat="1" ht="18.399999999999999" customHeight="1">
      <c r="A248" s="256"/>
      <c r="B248" s="257"/>
      <c r="C248" s="293" t="s">
        <v>1056</v>
      </c>
      <c r="D248" s="258"/>
      <c r="E248" s="258"/>
      <c r="F248" s="258"/>
      <c r="G248" s="259"/>
      <c r="H248" s="295" t="s">
        <v>1056</v>
      </c>
      <c r="I248" s="261" t="s">
        <v>821</v>
      </c>
      <c r="J248" s="262">
        <v>635128</v>
      </c>
      <c r="K248" s="263"/>
    </row>
    <row r="249" spans="1:11" s="264" customFormat="1" ht="18.399999999999999" customHeight="1">
      <c r="A249" s="256"/>
      <c r="B249" s="257"/>
      <c r="C249" s="293" t="s">
        <v>1054</v>
      </c>
      <c r="D249" s="258"/>
      <c r="E249" s="258"/>
      <c r="F249" s="258"/>
      <c r="G249" s="259"/>
      <c r="H249" s="295" t="s">
        <v>1054</v>
      </c>
      <c r="I249" s="261" t="s">
        <v>821</v>
      </c>
      <c r="J249" s="262">
        <v>1200000</v>
      </c>
      <c r="K249" s="263"/>
    </row>
    <row r="250" spans="1:11" s="264" customFormat="1" ht="18.399999999999999" customHeight="1">
      <c r="A250" s="256"/>
      <c r="B250" s="257"/>
      <c r="C250" s="293" t="s">
        <v>820</v>
      </c>
      <c r="D250" s="258"/>
      <c r="E250" s="258"/>
      <c r="F250" s="258"/>
      <c r="G250" s="259"/>
      <c r="H250" s="295" t="s">
        <v>820</v>
      </c>
      <c r="I250" s="261" t="s">
        <v>821</v>
      </c>
      <c r="J250" s="262">
        <v>6449844</v>
      </c>
      <c r="K250" s="263"/>
    </row>
    <row r="251" spans="1:11" s="264" customFormat="1" ht="18.399999999999999" customHeight="1">
      <c r="A251" s="256"/>
      <c r="B251" s="257"/>
      <c r="C251" s="293" t="s">
        <v>1063</v>
      </c>
      <c r="D251" s="258"/>
      <c r="E251" s="258"/>
      <c r="F251" s="258"/>
      <c r="G251" s="259"/>
      <c r="H251" s="295" t="s">
        <v>1063</v>
      </c>
      <c r="I251" s="261" t="s">
        <v>821</v>
      </c>
      <c r="J251" s="262">
        <v>2756176</v>
      </c>
      <c r="K251" s="263"/>
    </row>
    <row r="252" spans="1:11" s="264" customFormat="1" ht="18.399999999999999" customHeight="1">
      <c r="A252" s="256"/>
      <c r="B252" s="265"/>
      <c r="C252" s="303"/>
      <c r="D252" s="266"/>
      <c r="E252" s="266"/>
      <c r="F252" s="266"/>
      <c r="G252" s="267"/>
      <c r="H252" s="302"/>
      <c r="I252" s="298"/>
      <c r="J252" s="270"/>
      <c r="K252" s="263"/>
    </row>
    <row r="253" spans="1:11" s="264" customFormat="1" ht="18.399999999999999" customHeight="1">
      <c r="A253" s="256"/>
      <c r="B253" s="257" t="s">
        <v>1064</v>
      </c>
      <c r="C253" s="293"/>
      <c r="D253" s="258">
        <v>146719000</v>
      </c>
      <c r="E253" s="258">
        <v>115693719</v>
      </c>
      <c r="F253" s="258">
        <v>146719000</v>
      </c>
      <c r="G253" s="259">
        <f>E253-D253</f>
        <v>-31025281</v>
      </c>
      <c r="H253" s="295"/>
      <c r="I253" s="299"/>
      <c r="J253" s="262"/>
      <c r="K253" s="263"/>
    </row>
    <row r="254" spans="1:11" s="264" customFormat="1" ht="18.399999999999999" customHeight="1">
      <c r="A254" s="256"/>
      <c r="B254" s="257"/>
      <c r="C254" s="293" t="s">
        <v>148</v>
      </c>
      <c r="D254" s="258"/>
      <c r="E254" s="258"/>
      <c r="F254" s="258"/>
      <c r="G254" s="259"/>
      <c r="H254" s="295" t="s">
        <v>148</v>
      </c>
      <c r="I254" s="261" t="s">
        <v>821</v>
      </c>
      <c r="J254" s="262">
        <v>54875100</v>
      </c>
      <c r="K254" s="263"/>
    </row>
    <row r="255" spans="1:11" s="264" customFormat="1" ht="18.399999999999999" customHeight="1">
      <c r="A255" s="256"/>
      <c r="B255" s="257"/>
      <c r="C255" s="293" t="s">
        <v>150</v>
      </c>
      <c r="D255" s="258"/>
      <c r="E255" s="258"/>
      <c r="F255" s="258"/>
      <c r="G255" s="259"/>
      <c r="H255" s="295" t="s">
        <v>150</v>
      </c>
      <c r="I255" s="261" t="s">
        <v>821</v>
      </c>
      <c r="J255" s="308">
        <f>994130+47495007</f>
        <v>48489137</v>
      </c>
      <c r="K255" s="263"/>
    </row>
    <row r="256" spans="1:11" s="264" customFormat="1" ht="18.399999999999999" customHeight="1">
      <c r="A256" s="256"/>
      <c r="B256" s="257"/>
      <c r="C256" s="293" t="s">
        <v>1051</v>
      </c>
      <c r="D256" s="258"/>
      <c r="E256" s="258"/>
      <c r="F256" s="258"/>
      <c r="G256" s="259"/>
      <c r="H256" s="295" t="s">
        <v>1051</v>
      </c>
      <c r="I256" s="261" t="s">
        <v>821</v>
      </c>
      <c r="J256" s="262">
        <v>3779200</v>
      </c>
      <c r="K256" s="263"/>
    </row>
    <row r="257" spans="1:11" s="264" customFormat="1" ht="18.399999999999999" customHeight="1">
      <c r="A257" s="256"/>
      <c r="B257" s="257"/>
      <c r="C257" s="293" t="s">
        <v>1056</v>
      </c>
      <c r="D257" s="258"/>
      <c r="E257" s="258"/>
      <c r="F257" s="258"/>
      <c r="G257" s="259"/>
      <c r="H257" s="295" t="s">
        <v>1056</v>
      </c>
      <c r="I257" s="261" t="s">
        <v>821</v>
      </c>
      <c r="J257" s="262">
        <v>638861</v>
      </c>
      <c r="K257" s="263"/>
    </row>
    <row r="258" spans="1:11" s="264" customFormat="1" ht="18.399999999999999" customHeight="1">
      <c r="A258" s="256"/>
      <c r="B258" s="257"/>
      <c r="C258" s="293" t="s">
        <v>222</v>
      </c>
      <c r="D258" s="258"/>
      <c r="E258" s="258"/>
      <c r="F258" s="258"/>
      <c r="G258" s="259"/>
      <c r="H258" s="295" t="s">
        <v>222</v>
      </c>
      <c r="I258" s="261" t="s">
        <v>821</v>
      </c>
      <c r="J258" s="262">
        <v>330000</v>
      </c>
      <c r="K258" s="263"/>
    </row>
    <row r="259" spans="1:11" s="264" customFormat="1" ht="18.399999999999999" customHeight="1">
      <c r="A259" s="256"/>
      <c r="B259" s="257"/>
      <c r="C259" s="293" t="s">
        <v>1052</v>
      </c>
      <c r="D259" s="258"/>
      <c r="E259" s="258"/>
      <c r="F259" s="258"/>
      <c r="G259" s="259"/>
      <c r="H259" s="295" t="s">
        <v>1052</v>
      </c>
      <c r="I259" s="261" t="s">
        <v>821</v>
      </c>
      <c r="J259" s="262">
        <v>1289800</v>
      </c>
      <c r="K259" s="263"/>
    </row>
    <row r="260" spans="1:11" s="264" customFormat="1" ht="18.399999999999999" customHeight="1">
      <c r="A260" s="256"/>
      <c r="B260" s="257"/>
      <c r="C260" s="293" t="s">
        <v>1054</v>
      </c>
      <c r="D260" s="258"/>
      <c r="E260" s="258"/>
      <c r="F260" s="258"/>
      <c r="G260" s="259"/>
      <c r="H260" s="295" t="s">
        <v>1054</v>
      </c>
      <c r="I260" s="261" t="s">
        <v>821</v>
      </c>
      <c r="J260" s="262">
        <v>1260000</v>
      </c>
      <c r="K260" s="263"/>
    </row>
    <row r="261" spans="1:11" s="264" customFormat="1" ht="18.399999999999999" customHeight="1">
      <c r="A261" s="256"/>
      <c r="B261" s="257"/>
      <c r="C261" s="293" t="s">
        <v>1065</v>
      </c>
      <c r="D261" s="258"/>
      <c r="E261" s="258"/>
      <c r="F261" s="258"/>
      <c r="G261" s="259"/>
      <c r="H261" s="295" t="s">
        <v>1065</v>
      </c>
      <c r="I261" s="261" t="s">
        <v>821</v>
      </c>
      <c r="J261" s="262">
        <v>5031621</v>
      </c>
      <c r="K261" s="263"/>
    </row>
    <row r="262" spans="1:11" s="264" customFormat="1" ht="18.399999999999999" customHeight="1">
      <c r="A262" s="256"/>
      <c r="B262" s="265"/>
      <c r="C262" s="303"/>
      <c r="D262" s="266"/>
      <c r="E262" s="266"/>
      <c r="F262" s="266"/>
      <c r="G262" s="267"/>
      <c r="H262" s="302"/>
      <c r="I262" s="298"/>
      <c r="J262" s="270"/>
      <c r="K262" s="263"/>
    </row>
    <row r="263" spans="1:11" s="264" customFormat="1" ht="18.399999999999999" customHeight="1">
      <c r="A263" s="256"/>
      <c r="B263" s="257" t="s">
        <v>1066</v>
      </c>
      <c r="C263" s="293"/>
      <c r="D263" s="258">
        <v>139525000</v>
      </c>
      <c r="E263" s="258">
        <v>88112917</v>
      </c>
      <c r="F263" s="258">
        <v>139525000</v>
      </c>
      <c r="G263" s="259">
        <f>E263-D263</f>
        <v>-51412083</v>
      </c>
      <c r="H263" s="295"/>
      <c r="I263" s="299"/>
      <c r="J263" s="262"/>
      <c r="K263" s="263"/>
    </row>
    <row r="264" spans="1:11" s="264" customFormat="1" ht="18.399999999999999" customHeight="1">
      <c r="A264" s="256"/>
      <c r="B264" s="257"/>
      <c r="C264" s="293" t="s">
        <v>148</v>
      </c>
      <c r="D264" s="258"/>
      <c r="E264" s="258"/>
      <c r="F264" s="258"/>
      <c r="G264" s="259"/>
      <c r="H264" s="295" t="s">
        <v>148</v>
      </c>
      <c r="I264" s="261" t="s">
        <v>821</v>
      </c>
      <c r="J264" s="262">
        <f>67086400-22000000</f>
        <v>45086400</v>
      </c>
      <c r="K264" s="263"/>
    </row>
    <row r="265" spans="1:11" s="264" customFormat="1" ht="18.399999999999999" customHeight="1">
      <c r="A265" s="256"/>
      <c r="B265" s="257"/>
      <c r="C265" s="293" t="s">
        <v>150</v>
      </c>
      <c r="D265" s="258"/>
      <c r="E265" s="258"/>
      <c r="F265" s="258"/>
      <c r="G265" s="259"/>
      <c r="H265" s="295" t="s">
        <v>150</v>
      </c>
      <c r="I265" s="261" t="s">
        <v>821</v>
      </c>
      <c r="J265" s="308">
        <f>1021400+903481+61117512-33135896</f>
        <v>29906497</v>
      </c>
      <c r="K265" s="263"/>
    </row>
    <row r="266" spans="1:11" s="264" customFormat="1" ht="18.399999999999999" customHeight="1">
      <c r="A266" s="256"/>
      <c r="B266" s="257"/>
      <c r="C266" s="293" t="s">
        <v>1051</v>
      </c>
      <c r="D266" s="258"/>
      <c r="E266" s="258"/>
      <c r="F266" s="258"/>
      <c r="G266" s="259"/>
      <c r="H266" s="295" t="s">
        <v>1051</v>
      </c>
      <c r="I266" s="261" t="s">
        <v>821</v>
      </c>
      <c r="J266" s="262">
        <v>4773970</v>
      </c>
      <c r="K266" s="263"/>
    </row>
    <row r="267" spans="1:11" s="264" customFormat="1" ht="18.399999999999999" customHeight="1">
      <c r="A267" s="256"/>
      <c r="B267" s="257"/>
      <c r="C267" s="293" t="s">
        <v>1056</v>
      </c>
      <c r="D267" s="258"/>
      <c r="E267" s="258"/>
      <c r="F267" s="258"/>
      <c r="G267" s="259"/>
      <c r="H267" s="295" t="s">
        <v>1056</v>
      </c>
      <c r="I267" s="261" t="s">
        <v>821</v>
      </c>
      <c r="J267" s="262">
        <v>1249005</v>
      </c>
      <c r="K267" s="263"/>
    </row>
    <row r="268" spans="1:11" s="264" customFormat="1" ht="18.399999999999999" customHeight="1">
      <c r="A268" s="256"/>
      <c r="B268" s="257"/>
      <c r="C268" s="293" t="s">
        <v>222</v>
      </c>
      <c r="D268" s="258"/>
      <c r="E268" s="258"/>
      <c r="F268" s="258"/>
      <c r="G268" s="259"/>
      <c r="H268" s="295" t="s">
        <v>222</v>
      </c>
      <c r="I268" s="261" t="s">
        <v>821</v>
      </c>
      <c r="J268" s="262">
        <v>1443924</v>
      </c>
      <c r="K268" s="263"/>
    </row>
    <row r="269" spans="1:11" s="264" customFormat="1" ht="18.399999999999999" customHeight="1">
      <c r="A269" s="256"/>
      <c r="B269" s="257"/>
      <c r="C269" s="293" t="s">
        <v>820</v>
      </c>
      <c r="D269" s="258"/>
      <c r="E269" s="258"/>
      <c r="F269" s="258"/>
      <c r="G269" s="259"/>
      <c r="H269" s="295" t="s">
        <v>820</v>
      </c>
      <c r="I269" s="261" t="s">
        <v>821</v>
      </c>
      <c r="J269" s="262">
        <v>4688180</v>
      </c>
      <c r="K269" s="263"/>
    </row>
    <row r="270" spans="1:11" s="264" customFormat="1" ht="18.399999999999999" customHeight="1">
      <c r="A270" s="256"/>
      <c r="B270" s="257"/>
      <c r="C270" s="293" t="s">
        <v>1067</v>
      </c>
      <c r="D270" s="258"/>
      <c r="E270" s="258"/>
      <c r="F270" s="258"/>
      <c r="G270" s="259"/>
      <c r="H270" s="295" t="s">
        <v>1067</v>
      </c>
      <c r="I270" s="261" t="s">
        <v>821</v>
      </c>
      <c r="J270" s="262">
        <v>964941</v>
      </c>
      <c r="K270" s="263"/>
    </row>
    <row r="271" spans="1:11" s="264" customFormat="1" ht="18.399999999999999" customHeight="1">
      <c r="A271" s="256"/>
      <c r="B271" s="265"/>
      <c r="C271" s="303"/>
      <c r="D271" s="266"/>
      <c r="E271" s="266"/>
      <c r="F271" s="266"/>
      <c r="G271" s="267"/>
      <c r="H271" s="302"/>
      <c r="I271" s="298"/>
      <c r="J271" s="270"/>
      <c r="K271" s="263"/>
    </row>
    <row r="272" spans="1:11" s="264" customFormat="1" ht="18.399999999999999" customHeight="1">
      <c r="A272" s="256"/>
      <c r="B272" s="257" t="s">
        <v>1068</v>
      </c>
      <c r="C272" s="293"/>
      <c r="D272" s="258">
        <v>101030000</v>
      </c>
      <c r="E272" s="258">
        <v>103029704</v>
      </c>
      <c r="F272" s="258">
        <v>101030000</v>
      </c>
      <c r="G272" s="259">
        <f>E272-D272</f>
        <v>1999704</v>
      </c>
      <c r="H272" s="295"/>
      <c r="I272" s="299"/>
      <c r="J272" s="262"/>
      <c r="K272" s="263"/>
    </row>
    <row r="273" spans="1:11" s="264" customFormat="1" ht="18.399999999999999" customHeight="1">
      <c r="A273" s="256"/>
      <c r="B273" s="257"/>
      <c r="C273" s="293" t="s">
        <v>148</v>
      </c>
      <c r="D273" s="258"/>
      <c r="E273" s="258"/>
      <c r="F273" s="258"/>
      <c r="G273" s="259"/>
      <c r="H273" s="295" t="s">
        <v>148</v>
      </c>
      <c r="I273" s="261" t="s">
        <v>821</v>
      </c>
      <c r="J273" s="262">
        <f>28722400+1192800</f>
        <v>29915200</v>
      </c>
      <c r="K273" s="263"/>
    </row>
    <row r="274" spans="1:11" s="264" customFormat="1" ht="18.399999999999999" customHeight="1">
      <c r="A274" s="256"/>
      <c r="B274" s="257"/>
      <c r="C274" s="293" t="s">
        <v>150</v>
      </c>
      <c r="D274" s="258"/>
      <c r="E274" s="258"/>
      <c r="F274" s="258"/>
      <c r="G274" s="259"/>
      <c r="H274" s="295" t="s">
        <v>150</v>
      </c>
      <c r="I274" s="261" t="s">
        <v>821</v>
      </c>
      <c r="J274" s="308">
        <f>9982602+56516000-16989364</f>
        <v>49509238</v>
      </c>
      <c r="K274" s="263"/>
    </row>
    <row r="275" spans="1:11" s="264" customFormat="1" ht="18.399999999999999" customHeight="1">
      <c r="A275" s="256"/>
      <c r="B275" s="257"/>
      <c r="C275" s="293" t="s">
        <v>1051</v>
      </c>
      <c r="D275" s="258"/>
      <c r="E275" s="258"/>
      <c r="F275" s="258"/>
      <c r="G275" s="259"/>
      <c r="H275" s="295" t="s">
        <v>1051</v>
      </c>
      <c r="I275" s="261" t="s">
        <v>821</v>
      </c>
      <c r="J275" s="262">
        <v>3976000</v>
      </c>
      <c r="K275" s="263"/>
    </row>
    <row r="276" spans="1:11" s="264" customFormat="1" ht="18.399999999999999" customHeight="1">
      <c r="A276" s="256"/>
      <c r="B276" s="257"/>
      <c r="C276" s="293" t="s">
        <v>820</v>
      </c>
      <c r="D276" s="258"/>
      <c r="E276" s="258"/>
      <c r="F276" s="258"/>
      <c r="G276" s="259"/>
      <c r="H276" s="295" t="s">
        <v>820</v>
      </c>
      <c r="I276" s="261" t="s">
        <v>821</v>
      </c>
      <c r="J276" s="262">
        <v>4560000</v>
      </c>
      <c r="K276" s="263"/>
    </row>
    <row r="277" spans="1:11" s="264" customFormat="1" ht="18.399999999999999" customHeight="1">
      <c r="A277" s="256"/>
      <c r="B277" s="257"/>
      <c r="C277" s="293" t="s">
        <v>1067</v>
      </c>
      <c r="D277" s="258"/>
      <c r="E277" s="258"/>
      <c r="F277" s="258"/>
      <c r="G277" s="259"/>
      <c r="H277" s="295" t="s">
        <v>1067</v>
      </c>
      <c r="I277" s="261" t="s">
        <v>821</v>
      </c>
      <c r="J277" s="262">
        <v>3222000</v>
      </c>
      <c r="K277" s="263"/>
    </row>
    <row r="278" spans="1:11" s="264" customFormat="1" ht="18.399999999999999" customHeight="1">
      <c r="A278" s="256"/>
      <c r="B278" s="257"/>
      <c r="C278" s="293" t="s">
        <v>1056</v>
      </c>
      <c r="D278" s="258"/>
      <c r="E278" s="258"/>
      <c r="F278" s="258"/>
      <c r="G278" s="259"/>
      <c r="H278" s="295" t="s">
        <v>1056</v>
      </c>
      <c r="I278" s="261" t="s">
        <v>821</v>
      </c>
      <c r="J278" s="262">
        <v>3352584</v>
      </c>
      <c r="K278" s="263"/>
    </row>
    <row r="279" spans="1:11" s="264" customFormat="1" ht="18.399999999999999" customHeight="1">
      <c r="A279" s="256"/>
      <c r="B279" s="257"/>
      <c r="C279" s="293" t="s">
        <v>1028</v>
      </c>
      <c r="D279" s="258"/>
      <c r="E279" s="258"/>
      <c r="F279" s="258"/>
      <c r="G279" s="259"/>
      <c r="H279" s="295" t="s">
        <v>1028</v>
      </c>
      <c r="I279" s="261" t="s">
        <v>821</v>
      </c>
      <c r="J279" s="262">
        <v>8494682</v>
      </c>
      <c r="K279" s="263"/>
    </row>
    <row r="280" spans="1:11" s="264" customFormat="1" ht="18.399999999999999" customHeight="1">
      <c r="A280" s="256"/>
      <c r="B280" s="265"/>
      <c r="C280" s="303"/>
      <c r="D280" s="266"/>
      <c r="E280" s="266"/>
      <c r="F280" s="266"/>
      <c r="G280" s="267"/>
      <c r="H280" s="302"/>
      <c r="I280" s="298"/>
      <c r="J280" s="270"/>
      <c r="K280" s="263"/>
    </row>
    <row r="281" spans="1:11" s="264" customFormat="1" ht="18.399999999999999" customHeight="1">
      <c r="A281" s="256"/>
      <c r="B281" s="257" t="s">
        <v>1069</v>
      </c>
      <c r="C281" s="293"/>
      <c r="D281" s="258">
        <v>93396000</v>
      </c>
      <c r="E281" s="258">
        <v>88954906</v>
      </c>
      <c r="F281" s="258">
        <v>93396000</v>
      </c>
      <c r="G281" s="259">
        <f>E281-D281</f>
        <v>-4441094</v>
      </c>
      <c r="H281" s="295"/>
      <c r="I281" s="299"/>
      <c r="J281" s="262"/>
      <c r="K281" s="263"/>
    </row>
    <row r="282" spans="1:11" s="264" customFormat="1" ht="18.399999999999999" customHeight="1">
      <c r="A282" s="256"/>
      <c r="B282" s="257"/>
      <c r="C282" s="293" t="s">
        <v>148</v>
      </c>
      <c r="D282" s="258"/>
      <c r="E282" s="258"/>
      <c r="F282" s="258"/>
      <c r="G282" s="259"/>
      <c r="H282" s="295" t="s">
        <v>148</v>
      </c>
      <c r="I282" s="261" t="s">
        <v>821</v>
      </c>
      <c r="J282" s="262">
        <v>33670500</v>
      </c>
      <c r="K282" s="263"/>
    </row>
    <row r="283" spans="1:11" s="264" customFormat="1" ht="18.399999999999999" customHeight="1">
      <c r="A283" s="256"/>
      <c r="B283" s="257"/>
      <c r="C283" s="293" t="s">
        <v>150</v>
      </c>
      <c r="D283" s="258"/>
      <c r="E283" s="258"/>
      <c r="F283" s="258"/>
      <c r="G283" s="259"/>
      <c r="H283" s="295" t="s">
        <v>150</v>
      </c>
      <c r="I283" s="261" t="s">
        <v>821</v>
      </c>
      <c r="J283" s="308">
        <f>2483625+37217180</f>
        <v>39700805</v>
      </c>
      <c r="K283" s="263"/>
    </row>
    <row r="284" spans="1:11" s="264" customFormat="1" ht="18.399999999999999" customHeight="1">
      <c r="A284" s="256"/>
      <c r="B284" s="257"/>
      <c r="C284" s="293" t="s">
        <v>1051</v>
      </c>
      <c r="D284" s="258"/>
      <c r="E284" s="258"/>
      <c r="F284" s="258"/>
      <c r="G284" s="259"/>
      <c r="H284" s="295" t="s">
        <v>1051</v>
      </c>
      <c r="I284" s="261" t="s">
        <v>821</v>
      </c>
      <c r="J284" s="262">
        <v>1782581</v>
      </c>
      <c r="K284" s="263"/>
    </row>
    <row r="285" spans="1:11" s="264" customFormat="1" ht="18.399999999999999" customHeight="1">
      <c r="A285" s="256"/>
      <c r="B285" s="257"/>
      <c r="C285" s="293" t="s">
        <v>1067</v>
      </c>
      <c r="D285" s="258"/>
      <c r="E285" s="258"/>
      <c r="F285" s="258"/>
      <c r="G285" s="259"/>
      <c r="H285" s="295" t="s">
        <v>1067</v>
      </c>
      <c r="I285" s="261" t="s">
        <v>821</v>
      </c>
      <c r="J285" s="262">
        <v>1182000</v>
      </c>
      <c r="K285" s="263"/>
    </row>
    <row r="286" spans="1:11" s="264" customFormat="1" ht="18.399999999999999" customHeight="1">
      <c r="A286" s="256"/>
      <c r="B286" s="257"/>
      <c r="C286" s="293" t="s">
        <v>820</v>
      </c>
      <c r="D286" s="258"/>
      <c r="E286" s="258"/>
      <c r="F286" s="258"/>
      <c r="G286" s="259"/>
      <c r="H286" s="295" t="s">
        <v>820</v>
      </c>
      <c r="I286" s="261" t="s">
        <v>821</v>
      </c>
      <c r="J286" s="262">
        <v>3549000</v>
      </c>
      <c r="K286" s="263"/>
    </row>
    <row r="287" spans="1:11" s="264" customFormat="1" ht="18.399999999999999" customHeight="1">
      <c r="A287" s="256"/>
      <c r="B287" s="257"/>
      <c r="C287" s="293" t="s">
        <v>1056</v>
      </c>
      <c r="D287" s="258"/>
      <c r="E287" s="258"/>
      <c r="F287" s="258"/>
      <c r="G287" s="259"/>
      <c r="H287" s="295" t="s">
        <v>1056</v>
      </c>
      <c r="I287" s="261" t="s">
        <v>821</v>
      </c>
      <c r="J287" s="262">
        <v>3358020</v>
      </c>
      <c r="K287" s="263"/>
    </row>
    <row r="288" spans="1:11" s="264" customFormat="1" ht="18.399999999999999" customHeight="1">
      <c r="A288" s="256"/>
      <c r="B288" s="257"/>
      <c r="C288" s="293" t="s">
        <v>1070</v>
      </c>
      <c r="D288" s="258"/>
      <c r="E288" s="258"/>
      <c r="F288" s="258"/>
      <c r="G288" s="259"/>
      <c r="H288" s="295" t="s">
        <v>1070</v>
      </c>
      <c r="I288" s="261" t="s">
        <v>821</v>
      </c>
      <c r="J288" s="262">
        <v>5712000</v>
      </c>
      <c r="K288" s="263"/>
    </row>
    <row r="289" spans="1:11" s="264" customFormat="1" ht="18.399999999999999" customHeight="1">
      <c r="A289" s="256"/>
      <c r="B289" s="265"/>
      <c r="C289" s="303"/>
      <c r="D289" s="266"/>
      <c r="E289" s="266"/>
      <c r="F289" s="266"/>
      <c r="G289" s="267"/>
      <c r="H289" s="302"/>
      <c r="I289" s="298"/>
      <c r="J289" s="270"/>
      <c r="K289" s="263"/>
    </row>
    <row r="290" spans="1:11" s="264" customFormat="1" ht="18.399999999999999" customHeight="1">
      <c r="A290" s="256"/>
      <c r="B290" s="257" t="s">
        <v>1071</v>
      </c>
      <c r="C290" s="293"/>
      <c r="D290" s="258">
        <v>93396000</v>
      </c>
      <c r="E290" s="258">
        <v>81812224</v>
      </c>
      <c r="F290" s="258">
        <v>93396000</v>
      </c>
      <c r="G290" s="259">
        <f>E290-D290</f>
        <v>-11583776</v>
      </c>
      <c r="H290" s="295"/>
      <c r="I290" s="299"/>
      <c r="J290" s="262"/>
      <c r="K290" s="263"/>
    </row>
    <row r="291" spans="1:11" s="264" customFormat="1" ht="18.399999999999999" customHeight="1">
      <c r="A291" s="256"/>
      <c r="B291" s="257"/>
      <c r="C291" s="293" t="s">
        <v>148</v>
      </c>
      <c r="D291" s="258"/>
      <c r="E291" s="258"/>
      <c r="F291" s="258"/>
      <c r="G291" s="259"/>
      <c r="H291" s="295" t="s">
        <v>148</v>
      </c>
      <c r="I291" s="261" t="s">
        <v>821</v>
      </c>
      <c r="J291" s="262">
        <f>3828900+26434700</f>
        <v>30263600</v>
      </c>
      <c r="K291" s="263"/>
    </row>
    <row r="292" spans="1:11" s="264" customFormat="1" ht="18.399999999999999" customHeight="1">
      <c r="A292" s="256"/>
      <c r="B292" s="257"/>
      <c r="C292" s="293" t="s">
        <v>150</v>
      </c>
      <c r="D292" s="258"/>
      <c r="E292" s="258"/>
      <c r="F292" s="258"/>
      <c r="G292" s="259"/>
      <c r="H292" s="295" t="s">
        <v>150</v>
      </c>
      <c r="I292" s="261" t="s">
        <v>821</v>
      </c>
      <c r="J292" s="308">
        <f>990480+34918752</f>
        <v>35909232</v>
      </c>
      <c r="K292" s="263"/>
    </row>
    <row r="293" spans="1:11" s="264" customFormat="1" ht="18.399999999999999" customHeight="1">
      <c r="A293" s="256"/>
      <c r="B293" s="257"/>
      <c r="C293" s="293" t="s">
        <v>1067</v>
      </c>
      <c r="D293" s="258"/>
      <c r="E293" s="258"/>
      <c r="F293" s="258"/>
      <c r="G293" s="259"/>
      <c r="H293" s="295" t="s">
        <v>1067</v>
      </c>
      <c r="I293" s="261" t="s">
        <v>821</v>
      </c>
      <c r="J293" s="262">
        <v>1190800</v>
      </c>
      <c r="K293" s="263"/>
    </row>
    <row r="294" spans="1:11" s="264" customFormat="1" ht="18.399999999999999" customHeight="1">
      <c r="A294" s="256"/>
      <c r="B294" s="257"/>
      <c r="C294" s="293" t="s">
        <v>820</v>
      </c>
      <c r="D294" s="258"/>
      <c r="E294" s="258"/>
      <c r="F294" s="258"/>
      <c r="G294" s="259"/>
      <c r="H294" s="295" t="s">
        <v>820</v>
      </c>
      <c r="I294" s="261" t="s">
        <v>821</v>
      </c>
      <c r="J294" s="262">
        <v>3633000</v>
      </c>
      <c r="K294" s="263"/>
    </row>
    <row r="295" spans="1:11" s="264" customFormat="1" ht="18.399999999999999" customHeight="1">
      <c r="A295" s="256"/>
      <c r="B295" s="257"/>
      <c r="C295" s="293" t="s">
        <v>1056</v>
      </c>
      <c r="D295" s="258"/>
      <c r="E295" s="258"/>
      <c r="F295" s="258"/>
      <c r="G295" s="259"/>
      <c r="H295" s="295" t="s">
        <v>1056</v>
      </c>
      <c r="I295" s="261" t="s">
        <v>821</v>
      </c>
      <c r="J295" s="262">
        <v>3339084</v>
      </c>
      <c r="K295" s="263"/>
    </row>
    <row r="296" spans="1:11" s="264" customFormat="1" ht="18.399999999999999" customHeight="1">
      <c r="A296" s="256"/>
      <c r="B296" s="257"/>
      <c r="C296" s="293" t="s">
        <v>1051</v>
      </c>
      <c r="D296" s="258"/>
      <c r="E296" s="258"/>
      <c r="F296" s="258"/>
      <c r="G296" s="259"/>
      <c r="H296" s="295" t="s">
        <v>1051</v>
      </c>
      <c r="I296" s="261" t="s">
        <v>821</v>
      </c>
      <c r="J296" s="262">
        <v>1703580</v>
      </c>
      <c r="K296" s="263"/>
    </row>
    <row r="297" spans="1:11" s="264" customFormat="1" ht="18.399999999999999" customHeight="1">
      <c r="A297" s="256"/>
      <c r="B297" s="257"/>
      <c r="C297" s="293" t="s">
        <v>222</v>
      </c>
      <c r="D297" s="258"/>
      <c r="E297" s="258"/>
      <c r="F297" s="258"/>
      <c r="G297" s="259"/>
      <c r="H297" s="295" t="s">
        <v>222</v>
      </c>
      <c r="I297" s="261" t="s">
        <v>821</v>
      </c>
      <c r="J297" s="262">
        <v>330000</v>
      </c>
      <c r="K297" s="263"/>
    </row>
    <row r="298" spans="1:11" s="264" customFormat="1" ht="18.399999999999999" customHeight="1">
      <c r="A298" s="256"/>
      <c r="B298" s="257"/>
      <c r="C298" s="293" t="s">
        <v>1053</v>
      </c>
      <c r="D298" s="258"/>
      <c r="E298" s="258"/>
      <c r="F298" s="258"/>
      <c r="G298" s="259"/>
      <c r="H298" s="295" t="s">
        <v>1053</v>
      </c>
      <c r="I298" s="261" t="s">
        <v>821</v>
      </c>
      <c r="J298" s="262">
        <v>3120000</v>
      </c>
      <c r="K298" s="263"/>
    </row>
    <row r="299" spans="1:11" s="264" customFormat="1" ht="18.399999999999999" customHeight="1">
      <c r="A299" s="256"/>
      <c r="B299" s="257"/>
      <c r="C299" s="293" t="s">
        <v>1054</v>
      </c>
      <c r="D299" s="258"/>
      <c r="E299" s="258"/>
      <c r="F299" s="258"/>
      <c r="G299" s="259"/>
      <c r="H299" s="295" t="s">
        <v>1054</v>
      </c>
      <c r="I299" s="261" t="s">
        <v>821</v>
      </c>
      <c r="J299" s="262">
        <v>1140000</v>
      </c>
      <c r="K299" s="263"/>
    </row>
    <row r="300" spans="1:11" s="264" customFormat="1" ht="18.399999999999999" customHeight="1">
      <c r="A300" s="256"/>
      <c r="B300" s="257"/>
      <c r="C300" s="293" t="s">
        <v>1065</v>
      </c>
      <c r="D300" s="258"/>
      <c r="E300" s="258"/>
      <c r="F300" s="258"/>
      <c r="G300" s="259"/>
      <c r="H300" s="295" t="s">
        <v>1065</v>
      </c>
      <c r="I300" s="261" t="s">
        <v>821</v>
      </c>
      <c r="J300" s="262">
        <v>1182928</v>
      </c>
      <c r="K300" s="263"/>
    </row>
    <row r="301" spans="1:11" s="264" customFormat="1" ht="18.399999999999999" customHeight="1">
      <c r="A301" s="256"/>
      <c r="B301" s="265"/>
      <c r="C301" s="303"/>
      <c r="D301" s="266"/>
      <c r="E301" s="266"/>
      <c r="F301" s="266"/>
      <c r="G301" s="267"/>
      <c r="H301" s="302"/>
      <c r="I301" s="298"/>
      <c r="J301" s="270"/>
      <c r="K301" s="263"/>
    </row>
    <row r="302" spans="1:11" s="264" customFormat="1" ht="16.5" customHeight="1">
      <c r="A302" s="256"/>
      <c r="B302" s="293" t="s">
        <v>1072</v>
      </c>
      <c r="C302" s="293"/>
      <c r="D302" s="258">
        <v>21906000</v>
      </c>
      <c r="E302" s="258">
        <f>SUM(J303:J306)</f>
        <v>23351053</v>
      </c>
      <c r="F302" s="258">
        <v>21906000</v>
      </c>
      <c r="G302" s="259">
        <f>E302-D302</f>
        <v>1445053</v>
      </c>
      <c r="H302" s="295"/>
      <c r="I302" s="299"/>
      <c r="J302" s="262"/>
      <c r="K302" s="263"/>
    </row>
    <row r="303" spans="1:11" s="264" customFormat="1" ht="16.5" customHeight="1">
      <c r="A303" s="256"/>
      <c r="B303" s="293"/>
      <c r="C303" s="293" t="s">
        <v>148</v>
      </c>
      <c r="D303" s="258"/>
      <c r="E303" s="258"/>
      <c r="F303" s="258"/>
      <c r="G303" s="259"/>
      <c r="H303" s="295" t="s">
        <v>148</v>
      </c>
      <c r="I303" s="261" t="s">
        <v>821</v>
      </c>
      <c r="J303" s="262">
        <v>15836400</v>
      </c>
      <c r="K303" s="263"/>
    </row>
    <row r="304" spans="1:11" s="264" customFormat="1" ht="16.5" customHeight="1">
      <c r="A304" s="256"/>
      <c r="B304" s="293"/>
      <c r="C304" s="293" t="s">
        <v>150</v>
      </c>
      <c r="D304" s="258"/>
      <c r="E304" s="258"/>
      <c r="F304" s="258"/>
      <c r="G304" s="259"/>
      <c r="H304" s="295" t="s">
        <v>150</v>
      </c>
      <c r="I304" s="261" t="s">
        <v>821</v>
      </c>
      <c r="J304" s="262">
        <v>4136118</v>
      </c>
      <c r="K304" s="263"/>
    </row>
    <row r="305" spans="1:11" s="264" customFormat="1" ht="16.5" customHeight="1">
      <c r="A305" s="256"/>
      <c r="B305" s="257"/>
      <c r="C305" s="293" t="s">
        <v>222</v>
      </c>
      <c r="D305" s="258"/>
      <c r="E305" s="258"/>
      <c r="F305" s="258"/>
      <c r="G305" s="259"/>
      <c r="H305" s="295" t="s">
        <v>222</v>
      </c>
      <c r="I305" s="261" t="s">
        <v>821</v>
      </c>
      <c r="J305" s="262">
        <v>1600000</v>
      </c>
      <c r="K305" s="263"/>
    </row>
    <row r="306" spans="1:11" s="264" customFormat="1" ht="16.5" customHeight="1">
      <c r="A306" s="256"/>
      <c r="B306" s="293"/>
      <c r="C306" s="293" t="s">
        <v>1051</v>
      </c>
      <c r="D306" s="258"/>
      <c r="E306" s="258"/>
      <c r="F306" s="258"/>
      <c r="G306" s="259"/>
      <c r="H306" s="295" t="s">
        <v>1051</v>
      </c>
      <c r="I306" s="261" t="s">
        <v>821</v>
      </c>
      <c r="J306" s="262">
        <v>1778535</v>
      </c>
      <c r="K306" s="263"/>
    </row>
    <row r="307" spans="1:11" s="264" customFormat="1" ht="16.5" customHeight="1">
      <c r="A307" s="256"/>
      <c r="B307" s="265"/>
      <c r="C307" s="303"/>
      <c r="D307" s="266"/>
      <c r="E307" s="266"/>
      <c r="F307" s="266"/>
      <c r="G307" s="267"/>
      <c r="H307" s="302"/>
      <c r="I307" s="298"/>
      <c r="J307" s="270"/>
      <c r="K307" s="263"/>
    </row>
    <row r="308" spans="1:11" s="264" customFormat="1" ht="16.5" customHeight="1">
      <c r="A308" s="256"/>
      <c r="B308" s="293" t="s">
        <v>863</v>
      </c>
      <c r="C308" s="293"/>
      <c r="D308" s="258">
        <v>41400000</v>
      </c>
      <c r="E308" s="258">
        <v>0</v>
      </c>
      <c r="F308" s="258">
        <v>41400000</v>
      </c>
      <c r="G308" s="259">
        <f>E308-D308</f>
        <v>-41400000</v>
      </c>
      <c r="H308" s="295"/>
      <c r="I308" s="299"/>
      <c r="J308" s="262"/>
      <c r="K308" s="263"/>
    </row>
    <row r="309" spans="1:11" s="264" customFormat="1" ht="16.5" customHeight="1">
      <c r="A309" s="256"/>
      <c r="B309" s="265"/>
      <c r="C309" s="303"/>
      <c r="D309" s="266"/>
      <c r="E309" s="266"/>
      <c r="F309" s="266"/>
      <c r="G309" s="267"/>
      <c r="H309" s="302"/>
      <c r="I309" s="298"/>
      <c r="J309" s="270"/>
      <c r="K309" s="263"/>
    </row>
    <row r="310" spans="1:11" s="264" customFormat="1" ht="16.5" customHeight="1">
      <c r="A310" s="256"/>
      <c r="B310" s="293" t="s">
        <v>1073</v>
      </c>
      <c r="C310" s="293"/>
      <c r="D310" s="258">
        <f>38484000+33880000</f>
        <v>72364000</v>
      </c>
      <c r="E310" s="258">
        <f>33095770+42937395</f>
        <v>76033165</v>
      </c>
      <c r="F310" s="258">
        <f>38484000+33880000</f>
        <v>72364000</v>
      </c>
      <c r="G310" s="259">
        <f>E310-D310</f>
        <v>3669165</v>
      </c>
      <c r="H310" s="295"/>
      <c r="I310" s="299"/>
      <c r="J310" s="262"/>
      <c r="K310" s="263"/>
    </row>
    <row r="311" spans="1:11" s="264" customFormat="1" ht="18.399999999999999" customHeight="1">
      <c r="A311" s="256"/>
      <c r="B311" s="257"/>
      <c r="C311" s="293" t="s">
        <v>148</v>
      </c>
      <c r="D311" s="258"/>
      <c r="E311" s="258"/>
      <c r="F311" s="258"/>
      <c r="G311" s="259"/>
      <c r="H311" s="295" t="s">
        <v>148</v>
      </c>
      <c r="I311" s="261" t="s">
        <v>821</v>
      </c>
      <c r="J311" s="262">
        <v>14128600</v>
      </c>
      <c r="K311" s="263"/>
    </row>
    <row r="312" spans="1:11" s="264" customFormat="1" ht="18.399999999999999" customHeight="1">
      <c r="A312" s="256"/>
      <c r="B312" s="257"/>
      <c r="C312" s="293" t="s">
        <v>58</v>
      </c>
      <c r="D312" s="258"/>
      <c r="E312" s="258"/>
      <c r="F312" s="258"/>
      <c r="G312" s="259"/>
      <c r="H312" s="295" t="s">
        <v>58</v>
      </c>
      <c r="I312" s="261" t="s">
        <v>821</v>
      </c>
      <c r="J312" s="308">
        <f>16348000</f>
        <v>16348000</v>
      </c>
      <c r="K312" s="263"/>
    </row>
    <row r="313" spans="1:11" s="264" customFormat="1" ht="18.399999999999999" customHeight="1">
      <c r="A313" s="256"/>
      <c r="B313" s="257"/>
      <c r="C313" s="293" t="s">
        <v>993</v>
      </c>
      <c r="D313" s="258"/>
      <c r="E313" s="258"/>
      <c r="F313" s="258"/>
      <c r="G313" s="259"/>
      <c r="H313" s="295" t="s">
        <v>993</v>
      </c>
      <c r="I313" s="261" t="s">
        <v>821</v>
      </c>
      <c r="J313" s="308">
        <f>16468500+2472195</f>
        <v>18940695</v>
      </c>
      <c r="K313" s="263"/>
    </row>
    <row r="314" spans="1:11" s="264" customFormat="1" ht="18.399999999999999" customHeight="1">
      <c r="A314" s="256"/>
      <c r="B314" s="257"/>
      <c r="C314" s="293" t="s">
        <v>1051</v>
      </c>
      <c r="D314" s="258"/>
      <c r="E314" s="258"/>
      <c r="F314" s="258"/>
      <c r="G314" s="259"/>
      <c r="H314" s="295" t="s">
        <v>1051</v>
      </c>
      <c r="I314" s="261" t="s">
        <v>821</v>
      </c>
      <c r="J314" s="262">
        <v>2155080</v>
      </c>
      <c r="K314" s="263"/>
    </row>
    <row r="315" spans="1:11" s="264" customFormat="1" ht="18.399999999999999" customHeight="1">
      <c r="A315" s="256"/>
      <c r="B315" s="257"/>
      <c r="C315" s="293" t="s">
        <v>222</v>
      </c>
      <c r="D315" s="258"/>
      <c r="E315" s="258"/>
      <c r="F315" s="258"/>
      <c r="G315" s="259"/>
      <c r="H315" s="295" t="s">
        <v>222</v>
      </c>
      <c r="I315" s="261" t="s">
        <v>821</v>
      </c>
      <c r="J315" s="262">
        <f>1980000+2475000</f>
        <v>4455000</v>
      </c>
      <c r="K315" s="263"/>
    </row>
    <row r="316" spans="1:11" s="264" customFormat="1" ht="18.399999999999999" customHeight="1">
      <c r="A316" s="256"/>
      <c r="B316" s="257"/>
      <c r="C316" s="293" t="s">
        <v>1053</v>
      </c>
      <c r="D316" s="258"/>
      <c r="E316" s="258"/>
      <c r="F316" s="258"/>
      <c r="G316" s="259"/>
      <c r="H316" s="295" t="s">
        <v>1053</v>
      </c>
      <c r="I316" s="261" t="s">
        <v>821</v>
      </c>
      <c r="J316" s="262">
        <v>4590000</v>
      </c>
      <c r="K316" s="263"/>
    </row>
    <row r="317" spans="1:11" s="264" customFormat="1" ht="18.399999999999999" customHeight="1">
      <c r="A317" s="256"/>
      <c r="B317" s="257"/>
      <c r="C317" s="293" t="s">
        <v>1054</v>
      </c>
      <c r="D317" s="258"/>
      <c r="E317" s="258"/>
      <c r="F317" s="258"/>
      <c r="G317" s="259"/>
      <c r="H317" s="295" t="s">
        <v>1054</v>
      </c>
      <c r="I317" s="261" t="s">
        <v>821</v>
      </c>
      <c r="J317" s="262">
        <v>2340000</v>
      </c>
      <c r="K317" s="263"/>
    </row>
    <row r="318" spans="1:11" s="264" customFormat="1" ht="16.5" customHeight="1">
      <c r="A318" s="256"/>
      <c r="B318" s="293"/>
      <c r="C318" s="293" t="s">
        <v>824</v>
      </c>
      <c r="D318" s="258"/>
      <c r="E318" s="258"/>
      <c r="F318" s="258"/>
      <c r="G318" s="259"/>
      <c r="H318" s="295" t="s">
        <v>824</v>
      </c>
      <c r="I318" s="261" t="s">
        <v>821</v>
      </c>
      <c r="J318" s="262">
        <v>3924000</v>
      </c>
      <c r="K318" s="263"/>
    </row>
    <row r="319" spans="1:11" s="264" customFormat="1" ht="16.5" customHeight="1">
      <c r="A319" s="256"/>
      <c r="B319" s="293"/>
      <c r="C319" s="293" t="s">
        <v>797</v>
      </c>
      <c r="D319" s="258"/>
      <c r="E319" s="258"/>
      <c r="F319" s="258"/>
      <c r="G319" s="259"/>
      <c r="H319" s="295" t="s">
        <v>797</v>
      </c>
      <c r="I319" s="261" t="s">
        <v>821</v>
      </c>
      <c r="J319" s="262">
        <v>720000</v>
      </c>
      <c r="K319" s="263"/>
    </row>
    <row r="320" spans="1:11" s="264" customFormat="1" ht="18.399999999999999" customHeight="1">
      <c r="A320" s="256"/>
      <c r="B320" s="257"/>
      <c r="C320" s="293" t="s">
        <v>1065</v>
      </c>
      <c r="D320" s="258"/>
      <c r="E320" s="258"/>
      <c r="F320" s="258"/>
      <c r="G320" s="259"/>
      <c r="H320" s="295" t="s">
        <v>1065</v>
      </c>
      <c r="I320" s="261" t="s">
        <v>821</v>
      </c>
      <c r="J320" s="262">
        <f>15331790-6900000</f>
        <v>8431790</v>
      </c>
      <c r="K320" s="263"/>
    </row>
    <row r="321" spans="1:11" s="264" customFormat="1" ht="16.5" customHeight="1">
      <c r="A321" s="256"/>
      <c r="B321" s="265"/>
      <c r="C321" s="303"/>
      <c r="D321" s="266"/>
      <c r="E321" s="266"/>
      <c r="F321" s="266"/>
      <c r="G321" s="267"/>
      <c r="H321" s="302"/>
      <c r="I321" s="298"/>
      <c r="J321" s="270"/>
      <c r="K321" s="263"/>
    </row>
    <row r="322" spans="1:11" s="264" customFormat="1" ht="18.399999999999999" customHeight="1">
      <c r="A322" s="256"/>
      <c r="B322" s="257" t="s">
        <v>933</v>
      </c>
      <c r="C322" s="293"/>
      <c r="D322" s="258">
        <v>10000000</v>
      </c>
      <c r="E322" s="258">
        <v>5909200</v>
      </c>
      <c r="F322" s="258">
        <v>10000000</v>
      </c>
      <c r="G322" s="259">
        <f>E322-D322</f>
        <v>-4090800</v>
      </c>
      <c r="H322" s="295"/>
      <c r="I322" s="299"/>
      <c r="J322" s="262"/>
      <c r="K322" s="263"/>
    </row>
    <row r="323" spans="1:11" s="264" customFormat="1" ht="18.399999999999999" customHeight="1">
      <c r="A323" s="256"/>
      <c r="B323" s="257"/>
      <c r="C323" s="293" t="s">
        <v>148</v>
      </c>
      <c r="D323" s="258"/>
      <c r="E323" s="258"/>
      <c r="F323" s="258"/>
      <c r="G323" s="259"/>
      <c r="H323" s="295" t="s">
        <v>148</v>
      </c>
      <c r="I323" s="261" t="s">
        <v>821</v>
      </c>
      <c r="J323" s="308">
        <v>1254800</v>
      </c>
      <c r="K323" s="263"/>
    </row>
    <row r="324" spans="1:11" s="264" customFormat="1" ht="18.399999999999999" customHeight="1">
      <c r="A324" s="256"/>
      <c r="B324" s="257"/>
      <c r="C324" s="293" t="s">
        <v>58</v>
      </c>
      <c r="D324" s="258"/>
      <c r="E324" s="258"/>
      <c r="F324" s="258"/>
      <c r="G324" s="259"/>
      <c r="H324" s="295" t="s">
        <v>58</v>
      </c>
      <c r="I324" s="261" t="s">
        <v>821</v>
      </c>
      <c r="J324" s="262">
        <v>720000</v>
      </c>
      <c r="K324" s="263"/>
    </row>
    <row r="325" spans="1:11" s="264" customFormat="1" ht="18.399999999999999" customHeight="1">
      <c r="A325" s="256"/>
      <c r="B325" s="257"/>
      <c r="C325" s="293" t="s">
        <v>993</v>
      </c>
      <c r="D325" s="258"/>
      <c r="E325" s="258"/>
      <c r="F325" s="258"/>
      <c r="G325" s="259"/>
      <c r="H325" s="295" t="s">
        <v>993</v>
      </c>
      <c r="I325" s="261" t="s">
        <v>821</v>
      </c>
      <c r="J325" s="262">
        <v>1312300</v>
      </c>
      <c r="K325" s="263"/>
    </row>
    <row r="326" spans="1:11" s="264" customFormat="1" ht="18.399999999999999" customHeight="1">
      <c r="A326" s="256"/>
      <c r="B326" s="257"/>
      <c r="C326" s="293" t="s">
        <v>123</v>
      </c>
      <c r="D326" s="258"/>
      <c r="E326" s="258"/>
      <c r="F326" s="258"/>
      <c r="G326" s="259"/>
      <c r="H326" s="295" t="s">
        <v>123</v>
      </c>
      <c r="I326" s="261" t="s">
        <v>821</v>
      </c>
      <c r="J326" s="262">
        <v>1640000</v>
      </c>
      <c r="K326" s="263"/>
    </row>
    <row r="327" spans="1:11" s="264" customFormat="1" ht="18.399999999999999" customHeight="1">
      <c r="A327" s="256"/>
      <c r="B327" s="257"/>
      <c r="C327" s="293" t="s">
        <v>222</v>
      </c>
      <c r="D327" s="258"/>
      <c r="E327" s="258"/>
      <c r="F327" s="258"/>
      <c r="G327" s="259"/>
      <c r="H327" s="295" t="s">
        <v>222</v>
      </c>
      <c r="I327" s="261" t="s">
        <v>821</v>
      </c>
      <c r="J327" s="262">
        <f>452100+530000</f>
        <v>982100</v>
      </c>
      <c r="K327" s="263"/>
    </row>
    <row r="328" spans="1:11" s="264" customFormat="1" ht="18.399999999999999" customHeight="1" thickBot="1">
      <c r="A328" s="256"/>
      <c r="B328" s="265"/>
      <c r="C328" s="303"/>
      <c r="D328" s="266"/>
      <c r="E328" s="266"/>
      <c r="F328" s="266"/>
      <c r="G328" s="267"/>
      <c r="H328" s="302"/>
      <c r="I328" s="298"/>
      <c r="J328" s="270"/>
      <c r="K328" s="263"/>
    </row>
    <row r="329" spans="1:11" s="246" customFormat="1" ht="16.5" customHeight="1" thickBot="1">
      <c r="A329" s="289" t="s">
        <v>116</v>
      </c>
      <c r="B329" s="250" t="s">
        <v>814</v>
      </c>
      <c r="C329" s="250" t="s">
        <v>811</v>
      </c>
      <c r="D329" s="290">
        <f>+D360+D367+D374+D384+D394+D408+D414+D426+D433+D440+D447+D454+D330+D340+D351</f>
        <v>947184800</v>
      </c>
      <c r="E329" s="290">
        <f>+E360+E367+E374+E384+E394+E408+E414+E426+E433+E440+E447+E454+E330+E340+E351</f>
        <v>1115370327</v>
      </c>
      <c r="F329" s="290">
        <f>+F360+F367+F374+F384+F394+F408+F414+F426+F433+F440+F447+F454+F330+F340+F351</f>
        <v>947184800</v>
      </c>
      <c r="G329" s="290">
        <f>+G360+G367+G374+G384+G394+G408+G414+G426+G433+G440+G447+G454+G330+G340+G351</f>
        <v>168185527</v>
      </c>
      <c r="H329" s="291"/>
      <c r="I329" s="253"/>
      <c r="J329" s="254"/>
      <c r="K329" s="292"/>
    </row>
    <row r="330" spans="1:11" s="264" customFormat="1" ht="16.5" customHeight="1">
      <c r="A330" s="256"/>
      <c r="B330" s="293" t="s">
        <v>1074</v>
      </c>
      <c r="C330" s="293"/>
      <c r="D330" s="258">
        <v>65598000</v>
      </c>
      <c r="E330" s="258">
        <v>138454218</v>
      </c>
      <c r="F330" s="258">
        <v>65598000</v>
      </c>
      <c r="G330" s="259">
        <f>E330-D330</f>
        <v>72856218</v>
      </c>
      <c r="H330" s="260"/>
      <c r="I330" s="299"/>
      <c r="J330" s="262"/>
      <c r="K330" s="263"/>
    </row>
    <row r="331" spans="1:11" s="264" customFormat="1" ht="16.5" customHeight="1">
      <c r="A331" s="256"/>
      <c r="B331" s="293"/>
      <c r="C331" s="293" t="s">
        <v>148</v>
      </c>
      <c r="D331" s="258"/>
      <c r="E331" s="258"/>
      <c r="F331" s="258"/>
      <c r="G331" s="259"/>
      <c r="H331" s="295" t="s">
        <v>148</v>
      </c>
      <c r="I331" s="261" t="s">
        <v>821</v>
      </c>
      <c r="J331" s="262">
        <v>79725600</v>
      </c>
      <c r="K331" s="263"/>
    </row>
    <row r="332" spans="1:11" s="264" customFormat="1" ht="16.5" customHeight="1">
      <c r="A332" s="256"/>
      <c r="B332" s="293"/>
      <c r="C332" s="293" t="s">
        <v>150</v>
      </c>
      <c r="D332" s="258"/>
      <c r="E332" s="258"/>
      <c r="F332" s="258"/>
      <c r="G332" s="259"/>
      <c r="H332" s="295" t="s">
        <v>150</v>
      </c>
      <c r="I332" s="261" t="s">
        <v>821</v>
      </c>
      <c r="J332" s="262">
        <f>28520413+6068010</f>
        <v>34588423</v>
      </c>
      <c r="K332" s="263"/>
    </row>
    <row r="333" spans="1:11" s="264" customFormat="1" ht="16.5" customHeight="1">
      <c r="A333" s="256"/>
      <c r="B333" s="309"/>
      <c r="C333" s="293" t="s">
        <v>1051</v>
      </c>
      <c r="D333" s="258"/>
      <c r="E333" s="258"/>
      <c r="F333" s="258"/>
      <c r="G333" s="259"/>
      <c r="H333" s="295" t="s">
        <v>1051</v>
      </c>
      <c r="I333" s="261" t="s">
        <v>821</v>
      </c>
      <c r="J333" s="262">
        <v>3903195</v>
      </c>
      <c r="K333" s="263"/>
    </row>
    <row r="334" spans="1:11" s="264" customFormat="1" ht="16.5" customHeight="1">
      <c r="A334" s="256"/>
      <c r="B334" s="257"/>
      <c r="C334" s="293" t="s">
        <v>222</v>
      </c>
      <c r="D334" s="258"/>
      <c r="E334" s="258"/>
      <c r="F334" s="258"/>
      <c r="G334" s="259"/>
      <c r="H334" s="295" t="s">
        <v>222</v>
      </c>
      <c r="I334" s="261" t="s">
        <v>821</v>
      </c>
      <c r="J334" s="262">
        <v>510000</v>
      </c>
      <c r="K334" s="263"/>
    </row>
    <row r="335" spans="1:11" s="264" customFormat="1" ht="16.5" customHeight="1">
      <c r="A335" s="256"/>
      <c r="B335" s="310"/>
      <c r="C335" s="293" t="s">
        <v>1052</v>
      </c>
      <c r="D335" s="258"/>
      <c r="E335" s="258"/>
      <c r="F335" s="258"/>
      <c r="G335" s="259"/>
      <c r="H335" s="295" t="s">
        <v>1052</v>
      </c>
      <c r="I335" s="261" t="s">
        <v>821</v>
      </c>
      <c r="J335" s="262">
        <v>978000</v>
      </c>
      <c r="K335" s="263"/>
    </row>
    <row r="336" spans="1:11" s="264" customFormat="1" ht="16.5" customHeight="1">
      <c r="A336" s="256"/>
      <c r="B336" s="293"/>
      <c r="C336" s="293" t="s">
        <v>1075</v>
      </c>
      <c r="D336" s="258"/>
      <c r="E336" s="258"/>
      <c r="F336" s="258"/>
      <c r="G336" s="259"/>
      <c r="H336" s="295" t="s">
        <v>1075</v>
      </c>
      <c r="I336" s="261" t="s">
        <v>821</v>
      </c>
      <c r="J336" s="262">
        <v>5760000</v>
      </c>
      <c r="K336" s="263"/>
    </row>
    <row r="337" spans="1:11" s="264" customFormat="1" ht="16.5" customHeight="1">
      <c r="A337" s="256"/>
      <c r="B337" s="293"/>
      <c r="C337" s="293" t="s">
        <v>1054</v>
      </c>
      <c r="D337" s="258"/>
      <c r="E337" s="258"/>
      <c r="F337" s="258"/>
      <c r="G337" s="259"/>
      <c r="H337" s="295" t="s">
        <v>1054</v>
      </c>
      <c r="I337" s="261" t="s">
        <v>821</v>
      </c>
      <c r="J337" s="262">
        <v>2040000</v>
      </c>
      <c r="K337" s="311"/>
    </row>
    <row r="338" spans="1:11" s="264" customFormat="1" ht="16.5" customHeight="1">
      <c r="A338" s="256"/>
      <c r="B338" s="293"/>
      <c r="C338" s="293" t="s">
        <v>1065</v>
      </c>
      <c r="D338" s="258"/>
      <c r="E338" s="258"/>
      <c r="F338" s="258"/>
      <c r="G338" s="259"/>
      <c r="H338" s="295" t="s">
        <v>1065</v>
      </c>
      <c r="I338" s="261" t="s">
        <v>821</v>
      </c>
      <c r="J338" s="262">
        <v>10949000</v>
      </c>
      <c r="K338" s="311"/>
    </row>
    <row r="339" spans="1:11" s="264" customFormat="1" ht="16.5" customHeight="1">
      <c r="A339" s="256"/>
      <c r="B339" s="265"/>
      <c r="C339" s="303"/>
      <c r="D339" s="266"/>
      <c r="E339" s="266"/>
      <c r="F339" s="266"/>
      <c r="G339" s="267"/>
      <c r="H339" s="302"/>
      <c r="I339" s="298"/>
      <c r="J339" s="270"/>
      <c r="K339" s="263"/>
    </row>
    <row r="340" spans="1:11" s="264" customFormat="1" ht="16.5" customHeight="1">
      <c r="A340" s="256"/>
      <c r="B340" s="293" t="s">
        <v>1076</v>
      </c>
      <c r="C340" s="293"/>
      <c r="D340" s="258">
        <v>62214000</v>
      </c>
      <c r="E340" s="258">
        <v>84105270</v>
      </c>
      <c r="F340" s="258">
        <v>62214000</v>
      </c>
      <c r="G340" s="259">
        <f>E340-D340</f>
        <v>21891270</v>
      </c>
      <c r="H340" s="260"/>
      <c r="I340" s="299"/>
      <c r="J340" s="262"/>
      <c r="K340" s="263"/>
    </row>
    <row r="341" spans="1:11" s="264" customFormat="1" ht="16.5" customHeight="1">
      <c r="A341" s="256"/>
      <c r="B341" s="293"/>
      <c r="C341" s="293" t="s">
        <v>148</v>
      </c>
      <c r="D341" s="258"/>
      <c r="E341" s="258"/>
      <c r="F341" s="258"/>
      <c r="G341" s="259"/>
      <c r="H341" s="295" t="s">
        <v>148</v>
      </c>
      <c r="I341" s="261" t="s">
        <v>821</v>
      </c>
      <c r="J341" s="262">
        <v>35284300</v>
      </c>
      <c r="K341" s="263"/>
    </row>
    <row r="342" spans="1:11" s="264" customFormat="1" ht="16.5" customHeight="1">
      <c r="A342" s="256"/>
      <c r="B342" s="293"/>
      <c r="C342" s="293" t="s">
        <v>150</v>
      </c>
      <c r="D342" s="258"/>
      <c r="E342" s="258"/>
      <c r="F342" s="258"/>
      <c r="G342" s="259"/>
      <c r="H342" s="295" t="s">
        <v>150</v>
      </c>
      <c r="I342" s="261" t="s">
        <v>821</v>
      </c>
      <c r="J342" s="262">
        <f>1360861+3139890+31084114</f>
        <v>35584865</v>
      </c>
      <c r="K342" s="263"/>
    </row>
    <row r="343" spans="1:11" s="264" customFormat="1" ht="16.5" customHeight="1">
      <c r="A343" s="256"/>
      <c r="B343" s="309"/>
      <c r="C343" s="293" t="s">
        <v>1051</v>
      </c>
      <c r="D343" s="258"/>
      <c r="E343" s="258"/>
      <c r="F343" s="258"/>
      <c r="G343" s="259"/>
      <c r="H343" s="295" t="s">
        <v>1051</v>
      </c>
      <c r="I343" s="261" t="s">
        <v>821</v>
      </c>
      <c r="J343" s="262">
        <v>1542105</v>
      </c>
      <c r="K343" s="263"/>
    </row>
    <row r="344" spans="1:11" s="264" customFormat="1" ht="16.5" customHeight="1">
      <c r="A344" s="256"/>
      <c r="B344" s="257"/>
      <c r="C344" s="293" t="s">
        <v>222</v>
      </c>
      <c r="D344" s="258"/>
      <c r="E344" s="258"/>
      <c r="F344" s="258"/>
      <c r="G344" s="259"/>
      <c r="H344" s="295" t="s">
        <v>222</v>
      </c>
      <c r="I344" s="261" t="s">
        <v>821</v>
      </c>
      <c r="J344" s="262">
        <v>981000</v>
      </c>
      <c r="K344" s="263"/>
    </row>
    <row r="345" spans="1:11" s="264" customFormat="1" ht="16.5" customHeight="1">
      <c r="A345" s="256"/>
      <c r="B345" s="257"/>
      <c r="C345" s="293" t="s">
        <v>797</v>
      </c>
      <c r="D345" s="258"/>
      <c r="E345" s="258"/>
      <c r="F345" s="258"/>
      <c r="G345" s="259"/>
      <c r="H345" s="295" t="s">
        <v>797</v>
      </c>
      <c r="I345" s="261" t="s">
        <v>821</v>
      </c>
      <c r="J345" s="262">
        <v>900000</v>
      </c>
      <c r="K345" s="263"/>
    </row>
    <row r="346" spans="1:11" s="264" customFormat="1" ht="16.5" customHeight="1">
      <c r="A346" s="256"/>
      <c r="B346" s="310"/>
      <c r="C346" s="293" t="s">
        <v>1052</v>
      </c>
      <c r="D346" s="258"/>
      <c r="E346" s="258"/>
      <c r="F346" s="258"/>
      <c r="G346" s="259"/>
      <c r="H346" s="295" t="s">
        <v>1052</v>
      </c>
      <c r="I346" s="261" t="s">
        <v>821</v>
      </c>
      <c r="J346" s="262">
        <v>494000</v>
      </c>
      <c r="K346" s="263"/>
    </row>
    <row r="347" spans="1:11" s="264" customFormat="1" ht="16.5" customHeight="1">
      <c r="A347" s="256"/>
      <c r="B347" s="293"/>
      <c r="C347" s="293" t="s">
        <v>1075</v>
      </c>
      <c r="D347" s="258"/>
      <c r="E347" s="258"/>
      <c r="F347" s="258"/>
      <c r="G347" s="259"/>
      <c r="H347" s="295" t="s">
        <v>1075</v>
      </c>
      <c r="I347" s="261" t="s">
        <v>821</v>
      </c>
      <c r="J347" s="262">
        <v>2880000</v>
      </c>
      <c r="K347" s="263"/>
    </row>
    <row r="348" spans="1:11" s="264" customFormat="1" ht="16.5" customHeight="1">
      <c r="A348" s="256"/>
      <c r="B348" s="293"/>
      <c r="C348" s="293" t="s">
        <v>1054</v>
      </c>
      <c r="D348" s="258"/>
      <c r="E348" s="258"/>
      <c r="F348" s="258"/>
      <c r="G348" s="259"/>
      <c r="H348" s="295" t="s">
        <v>1054</v>
      </c>
      <c r="I348" s="261" t="s">
        <v>821</v>
      </c>
      <c r="J348" s="262">
        <v>1020000</v>
      </c>
      <c r="K348" s="311"/>
    </row>
    <row r="349" spans="1:11" s="264" customFormat="1" ht="16.5" customHeight="1">
      <c r="A349" s="256"/>
      <c r="B349" s="293"/>
      <c r="C349" s="293" t="s">
        <v>1065</v>
      </c>
      <c r="D349" s="258"/>
      <c r="E349" s="258"/>
      <c r="F349" s="258"/>
      <c r="G349" s="259"/>
      <c r="H349" s="295" t="s">
        <v>1065</v>
      </c>
      <c r="I349" s="261" t="s">
        <v>821</v>
      </c>
      <c r="J349" s="262">
        <v>5419000</v>
      </c>
      <c r="K349" s="311"/>
    </row>
    <row r="350" spans="1:11" s="264" customFormat="1" ht="16.5" customHeight="1">
      <c r="A350" s="256"/>
      <c r="B350" s="265"/>
      <c r="C350" s="303"/>
      <c r="D350" s="266"/>
      <c r="E350" s="266"/>
      <c r="F350" s="266"/>
      <c r="G350" s="267"/>
      <c r="H350" s="302"/>
      <c r="I350" s="298"/>
      <c r="J350" s="270"/>
      <c r="K350" s="263"/>
    </row>
    <row r="351" spans="1:11" s="264" customFormat="1" ht="16.5" customHeight="1">
      <c r="A351" s="256"/>
      <c r="B351" s="293" t="s">
        <v>1077</v>
      </c>
      <c r="C351" s="293"/>
      <c r="D351" s="258">
        <v>30140000</v>
      </c>
      <c r="E351" s="258">
        <v>93295759</v>
      </c>
      <c r="F351" s="258">
        <v>30140000</v>
      </c>
      <c r="G351" s="259">
        <f>E351-D351</f>
        <v>63155759</v>
      </c>
      <c r="H351" s="260"/>
      <c r="I351" s="299"/>
      <c r="J351" s="262"/>
      <c r="K351" s="263"/>
    </row>
    <row r="352" spans="1:11" s="264" customFormat="1" ht="16.5" customHeight="1">
      <c r="A352" s="256"/>
      <c r="B352" s="293"/>
      <c r="C352" s="293" t="s">
        <v>58</v>
      </c>
      <c r="D352" s="258"/>
      <c r="E352" s="258"/>
      <c r="F352" s="258"/>
      <c r="G352" s="259"/>
      <c r="H352" s="295" t="s">
        <v>58</v>
      </c>
      <c r="I352" s="261" t="s">
        <v>821</v>
      </c>
      <c r="J352" s="262">
        <v>40524000</v>
      </c>
      <c r="K352" s="263"/>
    </row>
    <row r="353" spans="1:11" s="264" customFormat="1" ht="16.5" customHeight="1">
      <c r="A353" s="256"/>
      <c r="B353" s="293"/>
      <c r="C353" s="293" t="s">
        <v>993</v>
      </c>
      <c r="D353" s="258"/>
      <c r="E353" s="258"/>
      <c r="F353" s="258"/>
      <c r="G353" s="259"/>
      <c r="H353" s="295" t="s">
        <v>993</v>
      </c>
      <c r="I353" s="261" t="s">
        <v>821</v>
      </c>
      <c r="J353" s="262">
        <v>32373680</v>
      </c>
      <c r="K353" s="263"/>
    </row>
    <row r="354" spans="1:11" s="264" customFormat="1" ht="16.5" customHeight="1">
      <c r="A354" s="256"/>
      <c r="B354" s="257"/>
      <c r="C354" s="293" t="s">
        <v>222</v>
      </c>
      <c r="D354" s="258"/>
      <c r="E354" s="258"/>
      <c r="F354" s="258"/>
      <c r="G354" s="259"/>
      <c r="H354" s="295" t="s">
        <v>222</v>
      </c>
      <c r="I354" s="261" t="s">
        <v>821</v>
      </c>
      <c r="J354" s="262">
        <v>7994419</v>
      </c>
      <c r="K354" s="263"/>
    </row>
    <row r="355" spans="1:11" s="264" customFormat="1" ht="16.5" customHeight="1">
      <c r="A355" s="256"/>
      <c r="B355" s="257"/>
      <c r="C355" s="293" t="s">
        <v>35</v>
      </c>
      <c r="D355" s="258"/>
      <c r="E355" s="258"/>
      <c r="F355" s="258"/>
      <c r="G355" s="259"/>
      <c r="H355" s="295" t="s">
        <v>35</v>
      </c>
      <c r="I355" s="261" t="s">
        <v>821</v>
      </c>
      <c r="J355" s="262">
        <v>590760</v>
      </c>
      <c r="K355" s="263"/>
    </row>
    <row r="356" spans="1:11" s="264" customFormat="1" ht="16.5" customHeight="1">
      <c r="A356" s="256"/>
      <c r="B356" s="310"/>
      <c r="C356" s="293" t="s">
        <v>1052</v>
      </c>
      <c r="D356" s="258"/>
      <c r="E356" s="258"/>
      <c r="F356" s="258"/>
      <c r="G356" s="259"/>
      <c r="H356" s="295" t="s">
        <v>1052</v>
      </c>
      <c r="I356" s="261" t="s">
        <v>821</v>
      </c>
      <c r="J356" s="262">
        <v>487600</v>
      </c>
      <c r="K356" s="263"/>
    </row>
    <row r="357" spans="1:11" s="264" customFormat="1" ht="16.5" customHeight="1">
      <c r="A357" s="256"/>
      <c r="B357" s="293"/>
      <c r="C357" s="293" t="s">
        <v>1075</v>
      </c>
      <c r="D357" s="258"/>
      <c r="E357" s="258"/>
      <c r="F357" s="258"/>
      <c r="G357" s="259"/>
      <c r="H357" s="295" t="s">
        <v>1075</v>
      </c>
      <c r="I357" s="261" t="s">
        <v>821</v>
      </c>
      <c r="J357" s="262">
        <f>10150000-3676000</f>
        <v>6474000</v>
      </c>
      <c r="K357" s="263"/>
    </row>
    <row r="358" spans="1:11" s="264" customFormat="1" ht="16.5" customHeight="1">
      <c r="A358" s="256"/>
      <c r="B358" s="293"/>
      <c r="C358" s="293" t="s">
        <v>1065</v>
      </c>
      <c r="D358" s="258"/>
      <c r="E358" s="258"/>
      <c r="F358" s="258"/>
      <c r="G358" s="259"/>
      <c r="H358" s="295" t="s">
        <v>1065</v>
      </c>
      <c r="I358" s="261" t="s">
        <v>821</v>
      </c>
      <c r="J358" s="262">
        <f>6851300-2000000</f>
        <v>4851300</v>
      </c>
      <c r="K358" s="311"/>
    </row>
    <row r="359" spans="1:11" s="264" customFormat="1" ht="16.5" customHeight="1">
      <c r="A359" s="256"/>
      <c r="B359" s="265"/>
      <c r="C359" s="303"/>
      <c r="D359" s="266"/>
      <c r="E359" s="266"/>
      <c r="F359" s="266"/>
      <c r="G359" s="267"/>
      <c r="H359" s="302"/>
      <c r="I359" s="298"/>
      <c r="J359" s="270"/>
      <c r="K359" s="263"/>
    </row>
    <row r="360" spans="1:11" s="264" customFormat="1" ht="16.5" customHeight="1">
      <c r="A360" s="256"/>
      <c r="B360" s="293" t="s">
        <v>1078</v>
      </c>
      <c r="C360" s="293"/>
      <c r="D360" s="258">
        <v>125365000</v>
      </c>
      <c r="E360" s="258">
        <v>154759653</v>
      </c>
      <c r="F360" s="258">
        <v>125365000</v>
      </c>
      <c r="G360" s="259">
        <f>E360-D360</f>
        <v>29394653</v>
      </c>
      <c r="H360" s="295"/>
      <c r="I360" s="299"/>
      <c r="J360" s="262"/>
      <c r="K360" s="263"/>
    </row>
    <row r="361" spans="1:11" s="264" customFormat="1" ht="16.5" customHeight="1">
      <c r="A361" s="256"/>
      <c r="B361" s="293"/>
      <c r="C361" s="293" t="s">
        <v>148</v>
      </c>
      <c r="D361" s="258"/>
      <c r="E361" s="258"/>
      <c r="F361" s="258"/>
      <c r="G361" s="259"/>
      <c r="H361" s="295" t="s">
        <v>148</v>
      </c>
      <c r="I361" s="261" t="s">
        <v>821</v>
      </c>
      <c r="J361" s="262">
        <v>63828600</v>
      </c>
      <c r="K361" s="263"/>
    </row>
    <row r="362" spans="1:11" s="264" customFormat="1" ht="16.5" customHeight="1">
      <c r="A362" s="256"/>
      <c r="B362" s="293"/>
      <c r="C362" s="293" t="s">
        <v>150</v>
      </c>
      <c r="D362" s="258"/>
      <c r="E362" s="258"/>
      <c r="F362" s="258"/>
      <c r="G362" s="259"/>
      <c r="H362" s="295" t="s">
        <v>150</v>
      </c>
      <c r="I362" s="261" t="s">
        <v>821</v>
      </c>
      <c r="J362" s="262">
        <f>77632594+1919477</f>
        <v>79552071</v>
      </c>
      <c r="K362" s="263"/>
    </row>
    <row r="363" spans="1:11" s="264" customFormat="1" ht="16.5" customHeight="1">
      <c r="A363" s="256"/>
      <c r="B363" s="309"/>
      <c r="C363" s="293" t="s">
        <v>1051</v>
      </c>
      <c r="D363" s="258"/>
      <c r="E363" s="258"/>
      <c r="F363" s="258"/>
      <c r="G363" s="259"/>
      <c r="H363" s="295" t="s">
        <v>1051</v>
      </c>
      <c r="I363" s="261" t="s">
        <v>821</v>
      </c>
      <c r="J363" s="262">
        <v>4022400</v>
      </c>
      <c r="K363" s="263"/>
    </row>
    <row r="364" spans="1:11" s="264" customFormat="1" ht="16.5" customHeight="1">
      <c r="A364" s="256"/>
      <c r="B364" s="310"/>
      <c r="C364" s="293" t="s">
        <v>1052</v>
      </c>
      <c r="D364" s="258"/>
      <c r="E364" s="258"/>
      <c r="F364" s="258"/>
      <c r="G364" s="259"/>
      <c r="H364" s="295" t="s">
        <v>1052</v>
      </c>
      <c r="I364" s="261" t="s">
        <v>821</v>
      </c>
      <c r="J364" s="262">
        <v>3627500</v>
      </c>
      <c r="K364" s="263"/>
    </row>
    <row r="365" spans="1:11" s="264" customFormat="1" ht="16.5" customHeight="1">
      <c r="A365" s="256"/>
      <c r="B365" s="293"/>
      <c r="C365" s="293" t="s">
        <v>824</v>
      </c>
      <c r="D365" s="258"/>
      <c r="E365" s="258"/>
      <c r="F365" s="258"/>
      <c r="G365" s="259"/>
      <c r="H365" s="295" t="s">
        <v>824</v>
      </c>
      <c r="I365" s="261" t="s">
        <v>821</v>
      </c>
      <c r="J365" s="262">
        <v>3729082</v>
      </c>
      <c r="K365" s="263"/>
    </row>
    <row r="366" spans="1:11" s="264" customFormat="1" ht="16.5" customHeight="1">
      <c r="A366" s="256"/>
      <c r="B366" s="265"/>
      <c r="C366" s="303"/>
      <c r="D366" s="266"/>
      <c r="E366" s="266"/>
      <c r="F366" s="266"/>
      <c r="G366" s="267"/>
      <c r="H366" s="302"/>
      <c r="I366" s="298"/>
      <c r="J366" s="270"/>
      <c r="K366" s="263"/>
    </row>
    <row r="367" spans="1:11" s="264" customFormat="1" ht="16.5" customHeight="1">
      <c r="A367" s="256"/>
      <c r="B367" s="293" t="s">
        <v>1079</v>
      </c>
      <c r="C367" s="293"/>
      <c r="D367" s="258">
        <v>125365000</v>
      </c>
      <c r="E367" s="258">
        <v>131827158</v>
      </c>
      <c r="F367" s="258">
        <v>125365000</v>
      </c>
      <c r="G367" s="259">
        <f>E367-D367</f>
        <v>6462158</v>
      </c>
      <c r="H367" s="295"/>
      <c r="I367" s="299"/>
      <c r="J367" s="262"/>
      <c r="K367" s="263"/>
    </row>
    <row r="368" spans="1:11" s="264" customFormat="1" ht="16.5" customHeight="1">
      <c r="A368" s="256"/>
      <c r="B368" s="293"/>
      <c r="C368" s="293" t="s">
        <v>148</v>
      </c>
      <c r="D368" s="258"/>
      <c r="E368" s="258"/>
      <c r="F368" s="258"/>
      <c r="G368" s="259"/>
      <c r="H368" s="295" t="s">
        <v>148</v>
      </c>
      <c r="I368" s="261" t="s">
        <v>821</v>
      </c>
      <c r="J368" s="262">
        <v>68046000</v>
      </c>
      <c r="K368" s="263"/>
    </row>
    <row r="369" spans="1:11" s="264" customFormat="1" ht="16.5" customHeight="1">
      <c r="A369" s="256"/>
      <c r="B369" s="293"/>
      <c r="C369" s="293" t="s">
        <v>150</v>
      </c>
      <c r="D369" s="258"/>
      <c r="E369" s="258"/>
      <c r="F369" s="258"/>
      <c r="G369" s="259"/>
      <c r="H369" s="295" t="s">
        <v>150</v>
      </c>
      <c r="I369" s="261" t="s">
        <v>821</v>
      </c>
      <c r="J369" s="262">
        <f>50656638+990570</f>
        <v>51647208</v>
      </c>
      <c r="K369" s="263"/>
    </row>
    <row r="370" spans="1:11" s="264" customFormat="1" ht="16.5" customHeight="1">
      <c r="A370" s="256"/>
      <c r="B370" s="257"/>
      <c r="C370" s="293" t="s">
        <v>1051</v>
      </c>
      <c r="D370" s="258"/>
      <c r="E370" s="258"/>
      <c r="F370" s="258"/>
      <c r="G370" s="259"/>
      <c r="H370" s="295" t="s">
        <v>1051</v>
      </c>
      <c r="I370" s="261" t="s">
        <v>821</v>
      </c>
      <c r="J370" s="262">
        <v>4718600</v>
      </c>
      <c r="K370" s="263"/>
    </row>
    <row r="371" spans="1:11" s="264" customFormat="1" ht="16.5" customHeight="1">
      <c r="A371" s="256"/>
      <c r="B371" s="310"/>
      <c r="C371" s="293" t="s">
        <v>126</v>
      </c>
      <c r="D371" s="258"/>
      <c r="E371" s="258"/>
      <c r="F371" s="258"/>
      <c r="G371" s="259"/>
      <c r="H371" s="295" t="s">
        <v>126</v>
      </c>
      <c r="I371" s="261" t="s">
        <v>821</v>
      </c>
      <c r="J371" s="262">
        <v>3222000</v>
      </c>
      <c r="K371" s="263"/>
    </row>
    <row r="372" spans="1:11" s="264" customFormat="1" ht="16.5" customHeight="1">
      <c r="A372" s="256"/>
      <c r="B372" s="293"/>
      <c r="C372" s="293" t="s">
        <v>824</v>
      </c>
      <c r="D372" s="258"/>
      <c r="E372" s="258"/>
      <c r="F372" s="258"/>
      <c r="G372" s="259"/>
      <c r="H372" s="295" t="s">
        <v>824</v>
      </c>
      <c r="I372" s="261" t="s">
        <v>821</v>
      </c>
      <c r="J372" s="262">
        <v>4193350</v>
      </c>
      <c r="K372" s="263"/>
    </row>
    <row r="373" spans="1:11" s="264" customFormat="1" ht="16.5" customHeight="1">
      <c r="A373" s="256"/>
      <c r="B373" s="265"/>
      <c r="C373" s="303"/>
      <c r="D373" s="266"/>
      <c r="E373" s="266"/>
      <c r="F373" s="266"/>
      <c r="G373" s="267"/>
      <c r="H373" s="302"/>
      <c r="I373" s="298"/>
      <c r="J373" s="270"/>
      <c r="K373" s="263"/>
    </row>
    <row r="374" spans="1:11" s="264" customFormat="1" ht="16.5" customHeight="1">
      <c r="A374" s="256"/>
      <c r="B374" s="293" t="s">
        <v>1080</v>
      </c>
      <c r="C374" s="293"/>
      <c r="D374" s="258">
        <v>93656000</v>
      </c>
      <c r="E374" s="258">
        <v>101511630</v>
      </c>
      <c r="F374" s="258">
        <v>93656000</v>
      </c>
      <c r="G374" s="259">
        <f>E374-D374</f>
        <v>7855630</v>
      </c>
      <c r="H374" s="295"/>
      <c r="I374" s="299"/>
      <c r="J374" s="262"/>
      <c r="K374" s="263"/>
    </row>
    <row r="375" spans="1:11" s="264" customFormat="1" ht="16.5" customHeight="1">
      <c r="A375" s="256"/>
      <c r="B375" s="293"/>
      <c r="C375" s="293" t="s">
        <v>58</v>
      </c>
      <c r="D375" s="258"/>
      <c r="E375" s="258"/>
      <c r="F375" s="258"/>
      <c r="G375" s="259"/>
      <c r="H375" s="295" t="s">
        <v>58</v>
      </c>
      <c r="I375" s="261" t="s">
        <v>821</v>
      </c>
      <c r="J375" s="262">
        <v>22990000</v>
      </c>
      <c r="K375" s="263"/>
    </row>
    <row r="376" spans="1:11" s="264" customFormat="1" ht="16.5" customHeight="1">
      <c r="A376" s="256"/>
      <c r="B376" s="293"/>
      <c r="C376" s="293" t="s">
        <v>993</v>
      </c>
      <c r="D376" s="258"/>
      <c r="E376" s="258"/>
      <c r="F376" s="258"/>
      <c r="G376" s="259"/>
      <c r="H376" s="295" t="s">
        <v>993</v>
      </c>
      <c r="I376" s="261" t="s">
        <v>821</v>
      </c>
      <c r="J376" s="262">
        <f>28915280+783350</f>
        <v>29698630</v>
      </c>
      <c r="K376" s="263"/>
    </row>
    <row r="377" spans="1:11" s="264" customFormat="1" ht="16.5" customHeight="1">
      <c r="A377" s="256"/>
      <c r="B377" s="257"/>
      <c r="C377" s="293" t="s">
        <v>222</v>
      </c>
      <c r="D377" s="258"/>
      <c r="E377" s="258"/>
      <c r="F377" s="258"/>
      <c r="G377" s="259"/>
      <c r="H377" s="295" t="s">
        <v>222</v>
      </c>
      <c r="I377" s="261" t="s">
        <v>821</v>
      </c>
      <c r="J377" s="262">
        <f>1800000+220000</f>
        <v>2020000</v>
      </c>
      <c r="K377" s="263"/>
    </row>
    <row r="378" spans="1:11" s="264" customFormat="1" ht="16.5" customHeight="1">
      <c r="A378" s="256"/>
      <c r="B378" s="293"/>
      <c r="C378" s="293" t="s">
        <v>1075</v>
      </c>
      <c r="D378" s="258"/>
      <c r="E378" s="258"/>
      <c r="F378" s="258"/>
      <c r="G378" s="259"/>
      <c r="H378" s="295" t="s">
        <v>1075</v>
      </c>
      <c r="I378" s="261" t="s">
        <v>821</v>
      </c>
      <c r="J378" s="262">
        <f>19200000+8000000</f>
        <v>27200000</v>
      </c>
      <c r="K378" s="263"/>
    </row>
    <row r="379" spans="1:11" s="264" customFormat="1" ht="16.5" customHeight="1">
      <c r="A379" s="256"/>
      <c r="B379" s="293"/>
      <c r="C379" s="293" t="s">
        <v>1081</v>
      </c>
      <c r="D379" s="258"/>
      <c r="E379" s="258"/>
      <c r="F379" s="258"/>
      <c r="G379" s="259"/>
      <c r="H379" s="295" t="s">
        <v>1081</v>
      </c>
      <c r="I379" s="261" t="s">
        <v>821</v>
      </c>
      <c r="J379" s="262">
        <v>2271000</v>
      </c>
      <c r="K379" s="263"/>
    </row>
    <row r="380" spans="1:11" s="264" customFormat="1" ht="16.5" customHeight="1">
      <c r="A380" s="256"/>
      <c r="B380" s="293"/>
      <c r="C380" s="293" t="s">
        <v>1082</v>
      </c>
      <c r="D380" s="258"/>
      <c r="E380" s="258"/>
      <c r="F380" s="258"/>
      <c r="G380" s="259"/>
      <c r="H380" s="295" t="s">
        <v>1082</v>
      </c>
      <c r="I380" s="261" t="s">
        <v>821</v>
      </c>
      <c r="J380" s="262">
        <v>15260000</v>
      </c>
      <c r="K380" s="263"/>
    </row>
    <row r="381" spans="1:11" s="264" customFormat="1" ht="16.5" customHeight="1">
      <c r="A381" s="256"/>
      <c r="B381" s="293"/>
      <c r="C381" s="293" t="s">
        <v>1052</v>
      </c>
      <c r="D381" s="258"/>
      <c r="E381" s="258"/>
      <c r="F381" s="258"/>
      <c r="G381" s="259"/>
      <c r="H381" s="295" t="s">
        <v>1052</v>
      </c>
      <c r="I381" s="261" t="s">
        <v>821</v>
      </c>
      <c r="J381" s="262">
        <v>156000</v>
      </c>
      <c r="K381" s="263"/>
    </row>
    <row r="382" spans="1:11" s="264" customFormat="1" ht="16.5" customHeight="1">
      <c r="A382" s="256"/>
      <c r="B382" s="293"/>
      <c r="C382" s="293" t="s">
        <v>1083</v>
      </c>
      <c r="D382" s="258"/>
      <c r="E382" s="258"/>
      <c r="F382" s="258"/>
      <c r="G382" s="259"/>
      <c r="H382" s="295" t="s">
        <v>1083</v>
      </c>
      <c r="I382" s="261" t="s">
        <v>821</v>
      </c>
      <c r="J382" s="262">
        <v>1916000</v>
      </c>
      <c r="K382" s="311"/>
    </row>
    <row r="383" spans="1:11" s="264" customFormat="1" ht="16.5" customHeight="1">
      <c r="A383" s="256"/>
      <c r="B383" s="265"/>
      <c r="C383" s="303"/>
      <c r="D383" s="266"/>
      <c r="E383" s="266"/>
      <c r="F383" s="266"/>
      <c r="G383" s="267"/>
      <c r="H383" s="302"/>
      <c r="I383" s="298"/>
      <c r="J383" s="270"/>
      <c r="K383" s="263"/>
    </row>
    <row r="384" spans="1:11" s="264" customFormat="1" ht="16.5" customHeight="1">
      <c r="A384" s="256"/>
      <c r="B384" s="293" t="s">
        <v>1084</v>
      </c>
      <c r="C384" s="293"/>
      <c r="D384" s="258">
        <v>91768000</v>
      </c>
      <c r="E384" s="258">
        <v>121091900</v>
      </c>
      <c r="F384" s="258">
        <v>91768000</v>
      </c>
      <c r="G384" s="259">
        <f>E384-D384</f>
        <v>29323900</v>
      </c>
      <c r="H384" s="295"/>
      <c r="I384" s="299"/>
      <c r="J384" s="262"/>
      <c r="K384" s="263"/>
    </row>
    <row r="385" spans="1:11" s="264" customFormat="1" ht="16.5" customHeight="1">
      <c r="A385" s="256"/>
      <c r="B385" s="293"/>
      <c r="C385" s="293" t="s">
        <v>58</v>
      </c>
      <c r="D385" s="258"/>
      <c r="E385" s="258"/>
      <c r="F385" s="258"/>
      <c r="G385" s="259"/>
      <c r="H385" s="295" t="s">
        <v>58</v>
      </c>
      <c r="I385" s="261" t="s">
        <v>821</v>
      </c>
      <c r="J385" s="262">
        <v>35600000</v>
      </c>
      <c r="K385" s="263"/>
    </row>
    <row r="386" spans="1:11" s="264" customFormat="1" ht="16.5" customHeight="1">
      <c r="A386" s="256"/>
      <c r="B386" s="293"/>
      <c r="C386" s="293" t="s">
        <v>993</v>
      </c>
      <c r="D386" s="258"/>
      <c r="E386" s="258"/>
      <c r="F386" s="258"/>
      <c r="G386" s="259"/>
      <c r="H386" s="295" t="s">
        <v>993</v>
      </c>
      <c r="I386" s="261" t="s">
        <v>821</v>
      </c>
      <c r="J386" s="262">
        <v>29481020</v>
      </c>
      <c r="K386" s="263"/>
    </row>
    <row r="387" spans="1:11" s="264" customFormat="1" ht="16.5" customHeight="1">
      <c r="A387" s="256"/>
      <c r="B387" s="257"/>
      <c r="C387" s="293" t="s">
        <v>222</v>
      </c>
      <c r="D387" s="258"/>
      <c r="E387" s="258"/>
      <c r="F387" s="258"/>
      <c r="G387" s="259"/>
      <c r="H387" s="295" t="s">
        <v>222</v>
      </c>
      <c r="I387" s="261" t="s">
        <v>821</v>
      </c>
      <c r="J387" s="262">
        <f>758000+6960000</f>
        <v>7718000</v>
      </c>
      <c r="K387" s="263"/>
    </row>
    <row r="388" spans="1:11" s="264" customFormat="1" ht="16.5" customHeight="1">
      <c r="A388" s="256"/>
      <c r="B388" s="293"/>
      <c r="C388" s="293" t="s">
        <v>1075</v>
      </c>
      <c r="D388" s="258"/>
      <c r="E388" s="258"/>
      <c r="F388" s="258"/>
      <c r="G388" s="259"/>
      <c r="H388" s="295" t="s">
        <v>1075</v>
      </c>
      <c r="I388" s="261" t="s">
        <v>821</v>
      </c>
      <c r="J388" s="262">
        <f>19200000+10120000</f>
        <v>29320000</v>
      </c>
      <c r="K388" s="263"/>
    </row>
    <row r="389" spans="1:11" s="264" customFormat="1" ht="16.5" customHeight="1">
      <c r="A389" s="256"/>
      <c r="B389" s="293"/>
      <c r="C389" s="293" t="s">
        <v>1081</v>
      </c>
      <c r="D389" s="258"/>
      <c r="E389" s="258"/>
      <c r="F389" s="258"/>
      <c r="G389" s="259"/>
      <c r="H389" s="295" t="s">
        <v>1081</v>
      </c>
      <c r="I389" s="261" t="s">
        <v>821</v>
      </c>
      <c r="J389" s="262">
        <v>2592000</v>
      </c>
      <c r="K389" s="263"/>
    </row>
    <row r="390" spans="1:11" s="264" customFormat="1" ht="16.5" customHeight="1">
      <c r="A390" s="256"/>
      <c r="B390" s="293"/>
      <c r="C390" s="293" t="s">
        <v>1082</v>
      </c>
      <c r="D390" s="258"/>
      <c r="E390" s="258"/>
      <c r="F390" s="258"/>
      <c r="G390" s="259"/>
      <c r="H390" s="295" t="s">
        <v>1082</v>
      </c>
      <c r="I390" s="261" t="s">
        <v>821</v>
      </c>
      <c r="J390" s="262">
        <v>15460000</v>
      </c>
      <c r="K390" s="263"/>
    </row>
    <row r="391" spans="1:11" s="264" customFormat="1" ht="16.5" customHeight="1">
      <c r="A391" s="256"/>
      <c r="B391" s="293"/>
      <c r="C391" s="293" t="s">
        <v>1052</v>
      </c>
      <c r="D391" s="258"/>
      <c r="E391" s="258"/>
      <c r="F391" s="258"/>
      <c r="G391" s="259"/>
      <c r="H391" s="295" t="s">
        <v>1052</v>
      </c>
      <c r="I391" s="261" t="s">
        <v>821</v>
      </c>
      <c r="J391" s="262">
        <v>765880</v>
      </c>
      <c r="K391" s="263"/>
    </row>
    <row r="392" spans="1:11" s="264" customFormat="1" ht="16.5" customHeight="1">
      <c r="A392" s="256"/>
      <c r="B392" s="293"/>
      <c r="C392" s="293" t="s">
        <v>1085</v>
      </c>
      <c r="D392" s="258"/>
      <c r="E392" s="258"/>
      <c r="F392" s="258"/>
      <c r="G392" s="259"/>
      <c r="H392" s="295" t="s">
        <v>1085</v>
      </c>
      <c r="I392" s="261" t="s">
        <v>821</v>
      </c>
      <c r="J392" s="262">
        <v>155000</v>
      </c>
      <c r="K392" s="311"/>
    </row>
    <row r="393" spans="1:11" s="264" customFormat="1" ht="16.5" customHeight="1">
      <c r="A393" s="256"/>
      <c r="B393" s="265"/>
      <c r="C393" s="303"/>
      <c r="D393" s="266"/>
      <c r="E393" s="266"/>
      <c r="F393" s="266"/>
      <c r="G393" s="267"/>
      <c r="H393" s="302"/>
      <c r="I393" s="298"/>
      <c r="J393" s="270"/>
      <c r="K393" s="263"/>
    </row>
    <row r="394" spans="1:11" s="264" customFormat="1" ht="16.5" customHeight="1">
      <c r="A394" s="256"/>
      <c r="B394" s="293" t="s">
        <v>1086</v>
      </c>
      <c r="C394" s="293"/>
      <c r="D394" s="258">
        <v>85564000</v>
      </c>
      <c r="E394" s="258">
        <f>80220070+4500000</f>
        <v>84720070</v>
      </c>
      <c r="F394" s="258">
        <v>85564000</v>
      </c>
      <c r="G394" s="259">
        <f>E394-D394</f>
        <v>-843930</v>
      </c>
      <c r="H394" s="295"/>
      <c r="I394" s="299"/>
      <c r="J394" s="262"/>
      <c r="K394" s="263"/>
    </row>
    <row r="395" spans="1:11" s="264" customFormat="1" ht="16.5" customHeight="1">
      <c r="A395" s="256"/>
      <c r="B395" s="293"/>
      <c r="C395" s="293" t="s">
        <v>58</v>
      </c>
      <c r="D395" s="258"/>
      <c r="E395" s="258"/>
      <c r="F395" s="258"/>
      <c r="G395" s="259"/>
      <c r="H395" s="295" t="s">
        <v>58</v>
      </c>
      <c r="I395" s="261" t="s">
        <v>821</v>
      </c>
      <c r="J395" s="262">
        <v>20007000</v>
      </c>
      <c r="K395" s="263"/>
    </row>
    <row r="396" spans="1:11" s="264" customFormat="1" ht="16.5" customHeight="1">
      <c r="A396" s="256"/>
      <c r="B396" s="293"/>
      <c r="C396" s="293" t="s">
        <v>993</v>
      </c>
      <c r="D396" s="258"/>
      <c r="E396" s="258"/>
      <c r="F396" s="258"/>
      <c r="G396" s="259"/>
      <c r="H396" s="295" t="s">
        <v>993</v>
      </c>
      <c r="I396" s="261" t="s">
        <v>821</v>
      </c>
      <c r="J396" s="262">
        <v>25762000</v>
      </c>
      <c r="K396" s="263"/>
    </row>
    <row r="397" spans="1:11" s="264" customFormat="1" ht="16.5" customHeight="1">
      <c r="A397" s="256"/>
      <c r="B397" s="257"/>
      <c r="C397" s="293" t="s">
        <v>222</v>
      </c>
      <c r="D397" s="258"/>
      <c r="E397" s="258"/>
      <c r="F397" s="258"/>
      <c r="G397" s="259"/>
      <c r="H397" s="295" t="s">
        <v>222</v>
      </c>
      <c r="I397" s="261" t="s">
        <v>821</v>
      </c>
      <c r="J397" s="262">
        <v>1920000</v>
      </c>
      <c r="K397" s="263"/>
    </row>
    <row r="398" spans="1:11" s="264" customFormat="1" ht="16.5" customHeight="1">
      <c r="A398" s="256"/>
      <c r="B398" s="257"/>
      <c r="C398" s="293" t="s">
        <v>1087</v>
      </c>
      <c r="D398" s="258"/>
      <c r="E398" s="258"/>
      <c r="F398" s="258"/>
      <c r="G398" s="259"/>
      <c r="H398" s="295" t="s">
        <v>1087</v>
      </c>
      <c r="I398" s="261" t="s">
        <v>821</v>
      </c>
      <c r="J398" s="262">
        <v>200000</v>
      </c>
      <c r="K398" s="263"/>
    </row>
    <row r="399" spans="1:11" s="264" customFormat="1" ht="16.5" customHeight="1">
      <c r="A399" s="256"/>
      <c r="B399" s="257"/>
      <c r="C399" s="293" t="s">
        <v>1088</v>
      </c>
      <c r="D399" s="258"/>
      <c r="E399" s="258"/>
      <c r="F399" s="258"/>
      <c r="G399" s="259"/>
      <c r="H399" s="295" t="s">
        <v>1088</v>
      </c>
      <c r="I399" s="261" t="s">
        <v>821</v>
      </c>
      <c r="J399" s="262">
        <v>960000</v>
      </c>
      <c r="K399" s="263"/>
    </row>
    <row r="400" spans="1:11" s="264" customFormat="1" ht="16.5" customHeight="1">
      <c r="A400" s="256"/>
      <c r="B400" s="257"/>
      <c r="C400" s="293" t="s">
        <v>1021</v>
      </c>
      <c r="D400" s="258"/>
      <c r="E400" s="258"/>
      <c r="F400" s="258"/>
      <c r="G400" s="259"/>
      <c r="H400" s="295" t="s">
        <v>1021</v>
      </c>
      <c r="I400" s="261" t="s">
        <v>821</v>
      </c>
      <c r="J400" s="262">
        <v>926070</v>
      </c>
      <c r="K400" s="263"/>
    </row>
    <row r="401" spans="1:11" s="264" customFormat="1" ht="16.5" customHeight="1">
      <c r="A401" s="256"/>
      <c r="B401" s="293"/>
      <c r="C401" s="293" t="s">
        <v>1075</v>
      </c>
      <c r="D401" s="258"/>
      <c r="E401" s="258"/>
      <c r="F401" s="258"/>
      <c r="G401" s="259"/>
      <c r="H401" s="295" t="s">
        <v>1075</v>
      </c>
      <c r="I401" s="261" t="s">
        <v>821</v>
      </c>
      <c r="J401" s="262">
        <v>12130000</v>
      </c>
      <c r="K401" s="263"/>
    </row>
    <row r="402" spans="1:11" s="264" customFormat="1" ht="16.5" customHeight="1">
      <c r="A402" s="256"/>
      <c r="B402" s="293"/>
      <c r="C402" s="293" t="s">
        <v>1081</v>
      </c>
      <c r="D402" s="258"/>
      <c r="E402" s="258"/>
      <c r="F402" s="258"/>
      <c r="G402" s="259"/>
      <c r="H402" s="295" t="s">
        <v>1081</v>
      </c>
      <c r="I402" s="261" t="s">
        <v>821</v>
      </c>
      <c r="J402" s="262">
        <v>3780000</v>
      </c>
      <c r="K402" s="263"/>
    </row>
    <row r="403" spans="1:11" s="264" customFormat="1" ht="16.5" customHeight="1">
      <c r="A403" s="256"/>
      <c r="B403" s="293"/>
      <c r="C403" s="293" t="s">
        <v>1082</v>
      </c>
      <c r="D403" s="258"/>
      <c r="E403" s="258"/>
      <c r="F403" s="258"/>
      <c r="G403" s="259"/>
      <c r="H403" s="295" t="s">
        <v>1082</v>
      </c>
      <c r="I403" s="261" t="s">
        <v>821</v>
      </c>
      <c r="J403" s="262">
        <v>13800000</v>
      </c>
      <c r="K403" s="263"/>
    </row>
    <row r="404" spans="1:11" s="264" customFormat="1" ht="16.5" customHeight="1">
      <c r="A404" s="256"/>
      <c r="B404" s="293"/>
      <c r="C404" s="293" t="s">
        <v>126</v>
      </c>
      <c r="D404" s="258"/>
      <c r="E404" s="258"/>
      <c r="F404" s="258"/>
      <c r="G404" s="259"/>
      <c r="H404" s="295" t="s">
        <v>126</v>
      </c>
      <c r="I404" s="261" t="s">
        <v>821</v>
      </c>
      <c r="J404" s="262">
        <v>235000</v>
      </c>
      <c r="K404" s="263"/>
    </row>
    <row r="405" spans="1:11" s="264" customFormat="1" ht="16.5" customHeight="1">
      <c r="A405" s="256"/>
      <c r="B405" s="293"/>
      <c r="C405" s="293" t="s">
        <v>1089</v>
      </c>
      <c r="D405" s="258"/>
      <c r="E405" s="258"/>
      <c r="F405" s="258"/>
      <c r="G405" s="259"/>
      <c r="H405" s="295" t="s">
        <v>1089</v>
      </c>
      <c r="I405" s="261" t="s">
        <v>821</v>
      </c>
      <c r="J405" s="262">
        <v>4500000</v>
      </c>
      <c r="K405" s="311"/>
    </row>
    <row r="406" spans="1:11" s="264" customFormat="1" ht="16.5" customHeight="1">
      <c r="A406" s="256"/>
      <c r="B406" s="293"/>
      <c r="C406" s="293" t="s">
        <v>1028</v>
      </c>
      <c r="D406" s="258"/>
      <c r="E406" s="258"/>
      <c r="F406" s="258"/>
      <c r="G406" s="259"/>
      <c r="H406" s="295" t="s">
        <v>1028</v>
      </c>
      <c r="I406" s="261" t="s">
        <v>821</v>
      </c>
      <c r="J406" s="262">
        <v>500000</v>
      </c>
      <c r="K406" s="311"/>
    </row>
    <row r="407" spans="1:11" s="264" customFormat="1" ht="16.5" customHeight="1">
      <c r="A407" s="256"/>
      <c r="B407" s="265"/>
      <c r="C407" s="303"/>
      <c r="D407" s="266"/>
      <c r="E407" s="266"/>
      <c r="F407" s="266"/>
      <c r="G407" s="267"/>
      <c r="H407" s="302"/>
      <c r="I407" s="298"/>
      <c r="J407" s="270"/>
      <c r="K407" s="263"/>
    </row>
    <row r="408" spans="1:11" s="264" customFormat="1" ht="16.5" customHeight="1">
      <c r="A408" s="256"/>
      <c r="B408" s="293" t="s">
        <v>1090</v>
      </c>
      <c r="C408" s="293"/>
      <c r="D408" s="258">
        <v>75726800</v>
      </c>
      <c r="E408" s="312">
        <v>14123929</v>
      </c>
      <c r="F408" s="258">
        <v>75726800</v>
      </c>
      <c r="G408" s="259">
        <f>E408-D408</f>
        <v>-61602871</v>
      </c>
      <c r="H408" s="295"/>
      <c r="I408" s="299"/>
      <c r="J408" s="262"/>
      <c r="K408" s="263"/>
    </row>
    <row r="409" spans="1:11" s="264" customFormat="1" ht="16.5" customHeight="1">
      <c r="A409" s="256"/>
      <c r="B409" s="257"/>
      <c r="C409" s="293" t="s">
        <v>222</v>
      </c>
      <c r="D409" s="258"/>
      <c r="E409" s="258"/>
      <c r="F409" s="258"/>
      <c r="G409" s="259"/>
      <c r="H409" s="295" t="s">
        <v>222</v>
      </c>
      <c r="I409" s="261" t="s">
        <v>821</v>
      </c>
      <c r="J409" s="262">
        <v>2392100</v>
      </c>
      <c r="K409" s="263"/>
    </row>
    <row r="410" spans="1:11" s="264" customFormat="1" ht="16.5" customHeight="1">
      <c r="A410" s="256"/>
      <c r="B410" s="293"/>
      <c r="C410" s="293" t="s">
        <v>1053</v>
      </c>
      <c r="D410" s="258"/>
      <c r="E410" s="258"/>
      <c r="F410" s="258"/>
      <c r="G410" s="259"/>
      <c r="H410" s="295" t="s">
        <v>1053</v>
      </c>
      <c r="I410" s="261" t="s">
        <v>821</v>
      </c>
      <c r="J410" s="262">
        <v>9000000</v>
      </c>
      <c r="K410" s="263"/>
    </row>
    <row r="411" spans="1:11" s="264" customFormat="1" ht="16.5" customHeight="1">
      <c r="A411" s="256"/>
      <c r="B411" s="293"/>
      <c r="C411" s="293" t="s">
        <v>1081</v>
      </c>
      <c r="D411" s="258"/>
      <c r="E411" s="258"/>
      <c r="F411" s="258"/>
      <c r="G411" s="259"/>
      <c r="H411" s="295" t="s">
        <v>1081</v>
      </c>
      <c r="I411" s="261" t="s">
        <v>821</v>
      </c>
      <c r="J411" s="262">
        <v>2700000</v>
      </c>
      <c r="K411" s="263"/>
    </row>
    <row r="412" spans="1:11" s="264" customFormat="1" ht="16.5" customHeight="1">
      <c r="A412" s="256"/>
      <c r="B412" s="293"/>
      <c r="C412" s="293" t="s">
        <v>1091</v>
      </c>
      <c r="D412" s="258"/>
      <c r="E412" s="258"/>
      <c r="F412" s="258"/>
      <c r="G412" s="259"/>
      <c r="H412" s="295" t="s">
        <v>1091</v>
      </c>
      <c r="I412" s="261" t="s">
        <v>821</v>
      </c>
      <c r="J412" s="262">
        <f>200000-168171</f>
        <v>31829</v>
      </c>
      <c r="K412" s="311"/>
    </row>
    <row r="413" spans="1:11" s="264" customFormat="1" ht="16.5" customHeight="1">
      <c r="A413" s="256"/>
      <c r="B413" s="265"/>
      <c r="C413" s="303"/>
      <c r="D413" s="266"/>
      <c r="E413" s="266"/>
      <c r="F413" s="266"/>
      <c r="G413" s="267"/>
      <c r="H413" s="302"/>
      <c r="I413" s="298"/>
      <c r="J413" s="270"/>
      <c r="K413" s="263"/>
    </row>
    <row r="414" spans="1:11" s="264" customFormat="1" ht="16.5" customHeight="1">
      <c r="A414" s="256"/>
      <c r="B414" s="293" t="s">
        <v>1092</v>
      </c>
      <c r="C414" s="293"/>
      <c r="D414" s="258">
        <v>66298000</v>
      </c>
      <c r="E414" s="258">
        <v>66115710</v>
      </c>
      <c r="F414" s="258">
        <v>66298000</v>
      </c>
      <c r="G414" s="259">
        <f>E414-D414</f>
        <v>-182290</v>
      </c>
      <c r="H414" s="295"/>
      <c r="I414" s="299"/>
      <c r="J414" s="262"/>
      <c r="K414" s="263"/>
    </row>
    <row r="415" spans="1:11" s="264" customFormat="1" ht="16.5" customHeight="1">
      <c r="A415" s="256"/>
      <c r="B415" s="293"/>
      <c r="C415" s="293" t="s">
        <v>1021</v>
      </c>
      <c r="D415" s="258"/>
      <c r="E415" s="258"/>
      <c r="F415" s="258"/>
      <c r="G415" s="259"/>
      <c r="H415" s="295" t="s">
        <v>1021</v>
      </c>
      <c r="I415" s="261" t="s">
        <v>821</v>
      </c>
      <c r="J415" s="262">
        <v>2553100</v>
      </c>
      <c r="K415" s="263"/>
    </row>
    <row r="416" spans="1:11" s="264" customFormat="1" ht="16.5" customHeight="1">
      <c r="A416" s="256"/>
      <c r="B416" s="293"/>
      <c r="C416" s="293" t="s">
        <v>58</v>
      </c>
      <c r="D416" s="258"/>
      <c r="E416" s="258"/>
      <c r="F416" s="258"/>
      <c r="G416" s="259"/>
      <c r="H416" s="295" t="s">
        <v>58</v>
      </c>
      <c r="I416" s="261" t="s">
        <v>821</v>
      </c>
      <c r="J416" s="262">
        <v>14000000</v>
      </c>
      <c r="K416" s="263"/>
    </row>
    <row r="417" spans="1:11" s="264" customFormat="1" ht="16.5" customHeight="1">
      <c r="A417" s="256"/>
      <c r="B417" s="293"/>
      <c r="C417" s="293" t="s">
        <v>993</v>
      </c>
      <c r="D417" s="258"/>
      <c r="E417" s="258"/>
      <c r="F417" s="258"/>
      <c r="G417" s="259"/>
      <c r="H417" s="295" t="s">
        <v>993</v>
      </c>
      <c r="I417" s="261" t="s">
        <v>821</v>
      </c>
      <c r="J417" s="262">
        <v>18275210</v>
      </c>
      <c r="K417" s="263"/>
    </row>
    <row r="418" spans="1:11" s="264" customFormat="1" ht="16.5" customHeight="1">
      <c r="A418" s="256"/>
      <c r="B418" s="257"/>
      <c r="C418" s="293" t="s">
        <v>1087</v>
      </c>
      <c r="D418" s="258"/>
      <c r="E418" s="258"/>
      <c r="F418" s="258"/>
      <c r="G418" s="259"/>
      <c r="H418" s="295" t="s">
        <v>1087</v>
      </c>
      <c r="I418" s="261" t="s">
        <v>821</v>
      </c>
      <c r="J418" s="262">
        <v>200000</v>
      </c>
      <c r="K418" s="263"/>
    </row>
    <row r="419" spans="1:11" s="264" customFormat="1" ht="16.5" customHeight="1">
      <c r="A419" s="256"/>
      <c r="B419" s="257"/>
      <c r="C419" s="293" t="s">
        <v>222</v>
      </c>
      <c r="D419" s="258"/>
      <c r="E419" s="258"/>
      <c r="F419" s="258"/>
      <c r="G419" s="259"/>
      <c r="H419" s="295" t="s">
        <v>222</v>
      </c>
      <c r="I419" s="261" t="s">
        <v>821</v>
      </c>
      <c r="J419" s="262">
        <f>690000+2700000</f>
        <v>3390000</v>
      </c>
      <c r="K419" s="263"/>
    </row>
    <row r="420" spans="1:11" s="264" customFormat="1" ht="16.5" customHeight="1">
      <c r="A420" s="256"/>
      <c r="B420" s="293"/>
      <c r="C420" s="293" t="s">
        <v>1075</v>
      </c>
      <c r="D420" s="258"/>
      <c r="E420" s="258"/>
      <c r="F420" s="258"/>
      <c r="G420" s="259"/>
      <c r="H420" s="295" t="s">
        <v>1075</v>
      </c>
      <c r="I420" s="261" t="s">
        <v>821</v>
      </c>
      <c r="J420" s="262">
        <v>9000000</v>
      </c>
      <c r="K420" s="263"/>
    </row>
    <row r="421" spans="1:11" s="264" customFormat="1" ht="16.5" customHeight="1">
      <c r="A421" s="256"/>
      <c r="B421" s="293"/>
      <c r="C421" s="293" t="s">
        <v>1081</v>
      </c>
      <c r="D421" s="258"/>
      <c r="E421" s="258"/>
      <c r="F421" s="258"/>
      <c r="G421" s="259"/>
      <c r="H421" s="295" t="s">
        <v>1081</v>
      </c>
      <c r="I421" s="261" t="s">
        <v>821</v>
      </c>
      <c r="J421" s="262">
        <v>2700000</v>
      </c>
      <c r="K421" s="263"/>
    </row>
    <row r="422" spans="1:11" s="264" customFormat="1" ht="16.5" customHeight="1">
      <c r="A422" s="256"/>
      <c r="B422" s="293"/>
      <c r="C422" s="293" t="s">
        <v>1082</v>
      </c>
      <c r="D422" s="258"/>
      <c r="E422" s="258"/>
      <c r="F422" s="258"/>
      <c r="G422" s="259"/>
      <c r="H422" s="295" t="s">
        <v>1082</v>
      </c>
      <c r="I422" s="261" t="s">
        <v>821</v>
      </c>
      <c r="J422" s="262">
        <v>15600000</v>
      </c>
      <c r="K422" s="263"/>
    </row>
    <row r="423" spans="1:11" s="264" customFormat="1" ht="16.5" customHeight="1">
      <c r="A423" s="256"/>
      <c r="B423" s="293"/>
      <c r="C423" s="293" t="s">
        <v>1052</v>
      </c>
      <c r="D423" s="258"/>
      <c r="E423" s="258"/>
      <c r="F423" s="258"/>
      <c r="G423" s="259"/>
      <c r="H423" s="295" t="s">
        <v>1052</v>
      </c>
      <c r="I423" s="261" t="s">
        <v>821</v>
      </c>
      <c r="J423" s="262">
        <v>197400</v>
      </c>
      <c r="K423" s="263"/>
    </row>
    <row r="424" spans="1:11" s="264" customFormat="1" ht="16.5" customHeight="1">
      <c r="A424" s="256"/>
      <c r="B424" s="293"/>
      <c r="C424" s="293" t="s">
        <v>1091</v>
      </c>
      <c r="D424" s="258"/>
      <c r="E424" s="258"/>
      <c r="F424" s="258"/>
      <c r="G424" s="259"/>
      <c r="H424" s="295" t="s">
        <v>1091</v>
      </c>
      <c r="I424" s="261" t="s">
        <v>821</v>
      </c>
      <c r="J424" s="262">
        <v>200000</v>
      </c>
      <c r="K424" s="311"/>
    </row>
    <row r="425" spans="1:11" s="264" customFormat="1" ht="16.5" customHeight="1">
      <c r="A425" s="256"/>
      <c r="B425" s="265"/>
      <c r="C425" s="303"/>
      <c r="D425" s="266"/>
      <c r="E425" s="266"/>
      <c r="F425" s="266"/>
      <c r="G425" s="267"/>
      <c r="H425" s="302"/>
      <c r="I425" s="298"/>
      <c r="J425" s="270"/>
      <c r="K425" s="263"/>
    </row>
    <row r="426" spans="1:11" s="264" customFormat="1" ht="16.5" customHeight="1">
      <c r="A426" s="256"/>
      <c r="B426" s="293" t="s">
        <v>1093</v>
      </c>
      <c r="C426" s="293"/>
      <c r="D426" s="258">
        <v>20300000</v>
      </c>
      <c r="E426" s="258">
        <v>15853450</v>
      </c>
      <c r="F426" s="258">
        <v>20300000</v>
      </c>
      <c r="G426" s="259">
        <f>E426-D426</f>
        <v>-4446550</v>
      </c>
      <c r="H426" s="295"/>
      <c r="I426" s="299"/>
      <c r="J426" s="262"/>
      <c r="K426" s="263"/>
    </row>
    <row r="427" spans="1:11" s="264" customFormat="1" ht="16.5" customHeight="1">
      <c r="A427" s="256"/>
      <c r="B427" s="293"/>
      <c r="C427" s="293" t="s">
        <v>58</v>
      </c>
      <c r="D427" s="258"/>
      <c r="E427" s="258"/>
      <c r="F427" s="258"/>
      <c r="G427" s="259"/>
      <c r="H427" s="295" t="s">
        <v>58</v>
      </c>
      <c r="I427" s="261" t="s">
        <v>821</v>
      </c>
      <c r="J427" s="262">
        <v>2460000</v>
      </c>
      <c r="K427" s="263"/>
    </row>
    <row r="428" spans="1:11" s="264" customFormat="1" ht="16.5" customHeight="1">
      <c r="A428" s="256"/>
      <c r="B428" s="293"/>
      <c r="C428" s="293" t="s">
        <v>993</v>
      </c>
      <c r="D428" s="258"/>
      <c r="E428" s="258"/>
      <c r="F428" s="258"/>
      <c r="G428" s="259"/>
      <c r="H428" s="295" t="s">
        <v>993</v>
      </c>
      <c r="I428" s="261" t="s">
        <v>821</v>
      </c>
      <c r="J428" s="262">
        <v>3017000</v>
      </c>
      <c r="K428" s="263"/>
    </row>
    <row r="429" spans="1:11" s="264" customFormat="1" ht="16.5" customHeight="1">
      <c r="A429" s="256"/>
      <c r="B429" s="257"/>
      <c r="C429" s="293" t="s">
        <v>222</v>
      </c>
      <c r="D429" s="258"/>
      <c r="E429" s="258"/>
      <c r="F429" s="258"/>
      <c r="G429" s="259"/>
      <c r="H429" s="295" t="s">
        <v>222</v>
      </c>
      <c r="I429" s="261" t="s">
        <v>821</v>
      </c>
      <c r="J429" s="262">
        <v>5456450</v>
      </c>
      <c r="K429" s="263"/>
    </row>
    <row r="430" spans="1:11" s="264" customFormat="1" ht="16.5" customHeight="1">
      <c r="A430" s="256"/>
      <c r="B430" s="293"/>
      <c r="C430" s="293" t="s">
        <v>1053</v>
      </c>
      <c r="D430" s="258"/>
      <c r="E430" s="258"/>
      <c r="F430" s="258"/>
      <c r="G430" s="259"/>
      <c r="H430" s="295" t="s">
        <v>1053</v>
      </c>
      <c r="I430" s="261" t="s">
        <v>821</v>
      </c>
      <c r="J430" s="262">
        <v>4500000</v>
      </c>
      <c r="K430" s="263"/>
    </row>
    <row r="431" spans="1:11" s="264" customFormat="1" ht="16.5" customHeight="1">
      <c r="A431" s="256"/>
      <c r="B431" s="293"/>
      <c r="C431" s="293" t="s">
        <v>824</v>
      </c>
      <c r="D431" s="258"/>
      <c r="E431" s="258"/>
      <c r="F431" s="258"/>
      <c r="G431" s="259"/>
      <c r="H431" s="295" t="s">
        <v>824</v>
      </c>
      <c r="I431" s="261" t="s">
        <v>821</v>
      </c>
      <c r="J431" s="262">
        <v>420000</v>
      </c>
      <c r="K431" s="263"/>
    </row>
    <row r="432" spans="1:11" s="264" customFormat="1" ht="16.5" customHeight="1">
      <c r="A432" s="256"/>
      <c r="B432" s="265"/>
      <c r="C432" s="303"/>
      <c r="D432" s="266"/>
      <c r="E432" s="266"/>
      <c r="F432" s="266"/>
      <c r="G432" s="267"/>
      <c r="H432" s="302"/>
      <c r="I432" s="298"/>
      <c r="J432" s="270"/>
      <c r="K432" s="263"/>
    </row>
    <row r="433" spans="1:11" s="264" customFormat="1" ht="16.5" customHeight="1">
      <c r="A433" s="256"/>
      <c r="B433" s="293" t="s">
        <v>1094</v>
      </c>
      <c r="C433" s="293"/>
      <c r="D433" s="258">
        <v>30140000</v>
      </c>
      <c r="E433" s="258">
        <f>2761000+12760000+12751910+1621000+6760000</f>
        <v>36653910</v>
      </c>
      <c r="F433" s="258">
        <v>30140000</v>
      </c>
      <c r="G433" s="259">
        <f>E433-D433</f>
        <v>6513910</v>
      </c>
      <c r="H433" s="295"/>
      <c r="I433" s="299"/>
      <c r="J433" s="262"/>
      <c r="K433" s="263"/>
    </row>
    <row r="434" spans="1:11" s="264" customFormat="1" ht="16.5" customHeight="1">
      <c r="A434" s="256"/>
      <c r="B434" s="293"/>
      <c r="C434" s="293" t="s">
        <v>58</v>
      </c>
      <c r="D434" s="258"/>
      <c r="E434" s="258"/>
      <c r="F434" s="258"/>
      <c r="G434" s="259"/>
      <c r="H434" s="295" t="s">
        <v>58</v>
      </c>
      <c r="I434" s="261" t="s">
        <v>821</v>
      </c>
      <c r="J434" s="262">
        <v>12760000</v>
      </c>
      <c r="K434" s="263"/>
    </row>
    <row r="435" spans="1:11" s="264" customFormat="1" ht="16.5" customHeight="1">
      <c r="A435" s="256"/>
      <c r="B435" s="293"/>
      <c r="C435" s="293" t="s">
        <v>993</v>
      </c>
      <c r="D435" s="258"/>
      <c r="E435" s="258"/>
      <c r="F435" s="258"/>
      <c r="G435" s="259"/>
      <c r="H435" s="295" t="s">
        <v>993</v>
      </c>
      <c r="I435" s="261" t="s">
        <v>821</v>
      </c>
      <c r="J435" s="262">
        <v>12751910</v>
      </c>
      <c r="K435" s="263"/>
    </row>
    <row r="436" spans="1:11" s="264" customFormat="1" ht="16.5" customHeight="1">
      <c r="A436" s="256"/>
      <c r="B436" s="293"/>
      <c r="C436" s="293" t="s">
        <v>126</v>
      </c>
      <c r="D436" s="258"/>
      <c r="E436" s="258"/>
      <c r="F436" s="258"/>
      <c r="G436" s="259"/>
      <c r="H436" s="295" t="s">
        <v>126</v>
      </c>
      <c r="I436" s="261" t="s">
        <v>821</v>
      </c>
      <c r="J436" s="262">
        <v>1621000</v>
      </c>
      <c r="K436" s="263"/>
    </row>
    <row r="437" spans="1:11" s="264" customFormat="1" ht="16.5" customHeight="1">
      <c r="A437" s="256"/>
      <c r="B437" s="257"/>
      <c r="C437" s="293" t="s">
        <v>222</v>
      </c>
      <c r="D437" s="258"/>
      <c r="E437" s="258"/>
      <c r="F437" s="258"/>
      <c r="G437" s="259"/>
      <c r="H437" s="295" t="s">
        <v>222</v>
      </c>
      <c r="I437" s="261" t="s">
        <v>821</v>
      </c>
      <c r="J437" s="262">
        <v>2761000</v>
      </c>
      <c r="K437" s="263"/>
    </row>
    <row r="438" spans="1:11" s="264" customFormat="1" ht="16.5" customHeight="1">
      <c r="A438" s="256"/>
      <c r="B438" s="293"/>
      <c r="C438" s="293" t="s">
        <v>1075</v>
      </c>
      <c r="D438" s="258"/>
      <c r="E438" s="258"/>
      <c r="F438" s="258"/>
      <c r="G438" s="259"/>
      <c r="H438" s="295" t="s">
        <v>1075</v>
      </c>
      <c r="I438" s="261" t="s">
        <v>821</v>
      </c>
      <c r="J438" s="262">
        <v>6760000</v>
      </c>
      <c r="K438" s="263"/>
    </row>
    <row r="439" spans="1:11" s="264" customFormat="1" ht="16.5" customHeight="1">
      <c r="A439" s="256"/>
      <c r="B439" s="265"/>
      <c r="C439" s="303"/>
      <c r="D439" s="266"/>
      <c r="E439" s="266"/>
      <c r="F439" s="266"/>
      <c r="G439" s="267"/>
      <c r="H439" s="302"/>
      <c r="I439" s="298"/>
      <c r="J439" s="270"/>
      <c r="K439" s="263"/>
    </row>
    <row r="440" spans="1:11" s="264" customFormat="1" ht="16.5" customHeight="1">
      <c r="A440" s="256"/>
      <c r="B440" s="293" t="s">
        <v>1095</v>
      </c>
      <c r="C440" s="293"/>
      <c r="D440" s="258">
        <v>30140000</v>
      </c>
      <c r="E440" s="258">
        <f>5810000+11230000+14662400+1329000+5480000</f>
        <v>38511400</v>
      </c>
      <c r="F440" s="258">
        <v>30140000</v>
      </c>
      <c r="G440" s="259">
        <f>E440-D440</f>
        <v>8371400</v>
      </c>
      <c r="H440" s="295"/>
      <c r="I440" s="299"/>
      <c r="J440" s="262"/>
      <c r="K440" s="263"/>
    </row>
    <row r="441" spans="1:11" s="264" customFormat="1" ht="16.5" customHeight="1">
      <c r="A441" s="256"/>
      <c r="B441" s="293"/>
      <c r="C441" s="293" t="s">
        <v>58</v>
      </c>
      <c r="D441" s="258"/>
      <c r="E441" s="258"/>
      <c r="F441" s="258"/>
      <c r="G441" s="259"/>
      <c r="H441" s="295" t="s">
        <v>58</v>
      </c>
      <c r="I441" s="261" t="s">
        <v>821</v>
      </c>
      <c r="J441" s="262">
        <v>11230000</v>
      </c>
      <c r="K441" s="263"/>
    </row>
    <row r="442" spans="1:11" s="264" customFormat="1" ht="16.5" customHeight="1">
      <c r="A442" s="256"/>
      <c r="B442" s="293"/>
      <c r="C442" s="293" t="s">
        <v>993</v>
      </c>
      <c r="D442" s="258"/>
      <c r="E442" s="258"/>
      <c r="F442" s="258"/>
      <c r="G442" s="259"/>
      <c r="H442" s="295" t="s">
        <v>993</v>
      </c>
      <c r="I442" s="261" t="s">
        <v>821</v>
      </c>
      <c r="J442" s="262">
        <v>14662400</v>
      </c>
      <c r="K442" s="263"/>
    </row>
    <row r="443" spans="1:11" s="264" customFormat="1" ht="16.5" customHeight="1">
      <c r="A443" s="256"/>
      <c r="B443" s="293"/>
      <c r="C443" s="293" t="s">
        <v>126</v>
      </c>
      <c r="D443" s="258"/>
      <c r="E443" s="258"/>
      <c r="F443" s="258"/>
      <c r="G443" s="259"/>
      <c r="H443" s="295" t="s">
        <v>126</v>
      </c>
      <c r="I443" s="261" t="s">
        <v>821</v>
      </c>
      <c r="J443" s="262">
        <v>1329000</v>
      </c>
      <c r="K443" s="263"/>
    </row>
    <row r="444" spans="1:11" s="264" customFormat="1" ht="16.5" customHeight="1">
      <c r="A444" s="256"/>
      <c r="B444" s="257"/>
      <c r="C444" s="293" t="s">
        <v>222</v>
      </c>
      <c r="D444" s="258"/>
      <c r="E444" s="258"/>
      <c r="F444" s="258"/>
      <c r="G444" s="259"/>
      <c r="H444" s="295" t="s">
        <v>222</v>
      </c>
      <c r="I444" s="261" t="s">
        <v>821</v>
      </c>
      <c r="J444" s="262">
        <v>5810000</v>
      </c>
      <c r="K444" s="263"/>
    </row>
    <row r="445" spans="1:11" s="264" customFormat="1" ht="16.5" customHeight="1">
      <c r="A445" s="256"/>
      <c r="B445" s="293"/>
      <c r="C445" s="293" t="s">
        <v>1075</v>
      </c>
      <c r="D445" s="258"/>
      <c r="E445" s="258"/>
      <c r="F445" s="258"/>
      <c r="G445" s="259"/>
      <c r="H445" s="295" t="s">
        <v>1075</v>
      </c>
      <c r="I445" s="261" t="s">
        <v>821</v>
      </c>
      <c r="J445" s="262">
        <v>5480000</v>
      </c>
      <c r="K445" s="263"/>
    </row>
    <row r="446" spans="1:11" s="264" customFormat="1" ht="16.5" customHeight="1">
      <c r="A446" s="256"/>
      <c r="B446" s="265"/>
      <c r="C446" s="303"/>
      <c r="D446" s="266"/>
      <c r="E446" s="266"/>
      <c r="F446" s="266"/>
      <c r="G446" s="267"/>
      <c r="H446" s="302"/>
      <c r="I446" s="298"/>
      <c r="J446" s="270"/>
      <c r="K446" s="263"/>
    </row>
    <row r="447" spans="1:11" s="264" customFormat="1" ht="16.5" customHeight="1">
      <c r="A447" s="256"/>
      <c r="B447" s="293" t="s">
        <v>1096</v>
      </c>
      <c r="C447" s="293"/>
      <c r="D447" s="258">
        <v>22455000</v>
      </c>
      <c r="E447" s="258">
        <f>3123000+9200000+10332460+102700+4680000</f>
        <v>27438160</v>
      </c>
      <c r="F447" s="258">
        <v>22455000</v>
      </c>
      <c r="G447" s="259">
        <f>E447-D447</f>
        <v>4983160</v>
      </c>
      <c r="H447" s="295"/>
      <c r="I447" s="299"/>
      <c r="J447" s="262"/>
      <c r="K447" s="263"/>
    </row>
    <row r="448" spans="1:11" s="264" customFormat="1" ht="16.5" customHeight="1">
      <c r="A448" s="256"/>
      <c r="B448" s="293"/>
      <c r="C448" s="293" t="s">
        <v>58</v>
      </c>
      <c r="D448" s="258"/>
      <c r="E448" s="258"/>
      <c r="F448" s="258"/>
      <c r="G448" s="259"/>
      <c r="H448" s="295" t="s">
        <v>58</v>
      </c>
      <c r="I448" s="261" t="s">
        <v>821</v>
      </c>
      <c r="J448" s="262">
        <v>9200000</v>
      </c>
      <c r="K448" s="263"/>
    </row>
    <row r="449" spans="1:11" s="264" customFormat="1" ht="16.5" customHeight="1">
      <c r="A449" s="256"/>
      <c r="B449" s="293"/>
      <c r="C449" s="293" t="s">
        <v>993</v>
      </c>
      <c r="D449" s="258"/>
      <c r="E449" s="258"/>
      <c r="F449" s="258"/>
      <c r="G449" s="259"/>
      <c r="H449" s="295" t="s">
        <v>993</v>
      </c>
      <c r="I449" s="261" t="s">
        <v>821</v>
      </c>
      <c r="J449" s="262">
        <v>10332460</v>
      </c>
      <c r="K449" s="263"/>
    </row>
    <row r="450" spans="1:11" s="264" customFormat="1" ht="16.5" customHeight="1">
      <c r="A450" s="256"/>
      <c r="B450" s="293"/>
      <c r="C450" s="293" t="s">
        <v>126</v>
      </c>
      <c r="D450" s="258"/>
      <c r="E450" s="258"/>
      <c r="F450" s="258"/>
      <c r="G450" s="259"/>
      <c r="H450" s="295" t="s">
        <v>126</v>
      </c>
      <c r="I450" s="261" t="s">
        <v>821</v>
      </c>
      <c r="J450" s="262">
        <v>102700</v>
      </c>
      <c r="K450" s="263"/>
    </row>
    <row r="451" spans="1:11" s="264" customFormat="1" ht="16.5" customHeight="1">
      <c r="A451" s="256"/>
      <c r="B451" s="257"/>
      <c r="C451" s="293" t="s">
        <v>222</v>
      </c>
      <c r="D451" s="258"/>
      <c r="E451" s="258"/>
      <c r="F451" s="258"/>
      <c r="G451" s="259"/>
      <c r="H451" s="295" t="s">
        <v>222</v>
      </c>
      <c r="I451" s="261" t="s">
        <v>821</v>
      </c>
      <c r="J451" s="262">
        <v>3123000</v>
      </c>
      <c r="K451" s="263"/>
    </row>
    <row r="452" spans="1:11" s="264" customFormat="1" ht="16.5" customHeight="1">
      <c r="A452" s="256"/>
      <c r="B452" s="293"/>
      <c r="C452" s="293" t="s">
        <v>1075</v>
      </c>
      <c r="D452" s="258"/>
      <c r="E452" s="258"/>
      <c r="F452" s="258"/>
      <c r="G452" s="259"/>
      <c r="H452" s="295" t="s">
        <v>1075</v>
      </c>
      <c r="I452" s="261" t="s">
        <v>821</v>
      </c>
      <c r="J452" s="262">
        <v>4680000</v>
      </c>
      <c r="K452" s="263"/>
    </row>
    <row r="453" spans="1:11" s="264" customFormat="1" ht="16.5" customHeight="1">
      <c r="A453" s="256"/>
      <c r="B453" s="265"/>
      <c r="C453" s="303"/>
      <c r="D453" s="266"/>
      <c r="E453" s="266"/>
      <c r="F453" s="266"/>
      <c r="G453" s="267"/>
      <c r="H453" s="302"/>
      <c r="I453" s="298"/>
      <c r="J453" s="270"/>
      <c r="K453" s="263"/>
    </row>
    <row r="454" spans="1:11" s="264" customFormat="1" ht="16.5" customHeight="1">
      <c r="A454" s="256"/>
      <c r="B454" s="293" t="s">
        <v>1097</v>
      </c>
      <c r="C454" s="293"/>
      <c r="D454" s="258">
        <v>22455000</v>
      </c>
      <c r="E454" s="258">
        <f>480000+2500000+2378110+250000+1300000</f>
        <v>6908110</v>
      </c>
      <c r="F454" s="258">
        <v>22455000</v>
      </c>
      <c r="G454" s="259">
        <f>E454-D454</f>
        <v>-15546890</v>
      </c>
      <c r="H454" s="295"/>
      <c r="I454" s="299"/>
      <c r="J454" s="262"/>
      <c r="K454" s="263"/>
    </row>
    <row r="455" spans="1:11" s="264" customFormat="1" ht="16.5" customHeight="1">
      <c r="A455" s="256"/>
      <c r="B455" s="293"/>
      <c r="C455" s="293" t="s">
        <v>58</v>
      </c>
      <c r="D455" s="258"/>
      <c r="E455" s="258"/>
      <c r="F455" s="258"/>
      <c r="G455" s="259"/>
      <c r="H455" s="295" t="s">
        <v>58</v>
      </c>
      <c r="I455" s="261" t="s">
        <v>821</v>
      </c>
      <c r="J455" s="262">
        <v>2500000</v>
      </c>
      <c r="K455" s="263"/>
    </row>
    <row r="456" spans="1:11" s="264" customFormat="1" ht="16.5" customHeight="1">
      <c r="A456" s="256"/>
      <c r="B456" s="293"/>
      <c r="C456" s="293" t="s">
        <v>993</v>
      </c>
      <c r="D456" s="258"/>
      <c r="E456" s="258"/>
      <c r="F456" s="258"/>
      <c r="G456" s="259"/>
      <c r="H456" s="295" t="s">
        <v>993</v>
      </c>
      <c r="I456" s="261" t="s">
        <v>821</v>
      </c>
      <c r="J456" s="262">
        <v>2378110</v>
      </c>
      <c r="K456" s="263"/>
    </row>
    <row r="457" spans="1:11" s="264" customFormat="1" ht="16.5" customHeight="1">
      <c r="A457" s="256"/>
      <c r="B457" s="293"/>
      <c r="C457" s="293" t="s">
        <v>126</v>
      </c>
      <c r="D457" s="258"/>
      <c r="E457" s="258"/>
      <c r="F457" s="258"/>
      <c r="G457" s="259"/>
      <c r="H457" s="295" t="s">
        <v>126</v>
      </c>
      <c r="I457" s="261" t="s">
        <v>821</v>
      </c>
      <c r="J457" s="262">
        <v>250000</v>
      </c>
      <c r="K457" s="263"/>
    </row>
    <row r="458" spans="1:11" s="264" customFormat="1" ht="16.5" customHeight="1">
      <c r="A458" s="256"/>
      <c r="B458" s="257"/>
      <c r="C458" s="293" t="s">
        <v>222</v>
      </c>
      <c r="D458" s="258"/>
      <c r="E458" s="258"/>
      <c r="F458" s="258"/>
      <c r="G458" s="259"/>
      <c r="H458" s="295" t="s">
        <v>222</v>
      </c>
      <c r="I458" s="261" t="s">
        <v>821</v>
      </c>
      <c r="J458" s="262">
        <v>480000</v>
      </c>
      <c r="K458" s="263"/>
    </row>
    <row r="459" spans="1:11" s="264" customFormat="1" ht="16.5" customHeight="1">
      <c r="A459" s="256"/>
      <c r="B459" s="293"/>
      <c r="C459" s="293" t="s">
        <v>1075</v>
      </c>
      <c r="D459" s="258"/>
      <c r="E459" s="258"/>
      <c r="F459" s="258"/>
      <c r="G459" s="259"/>
      <c r="H459" s="295" t="s">
        <v>1075</v>
      </c>
      <c r="I459" s="261" t="s">
        <v>821</v>
      </c>
      <c r="J459" s="262">
        <v>1300000</v>
      </c>
      <c r="K459" s="263"/>
    </row>
    <row r="460" spans="1:11" s="264" customFormat="1" ht="16.5" customHeight="1" thickBot="1">
      <c r="A460" s="256"/>
      <c r="B460" s="265"/>
      <c r="C460" s="303"/>
      <c r="D460" s="266"/>
      <c r="E460" s="266"/>
      <c r="F460" s="266"/>
      <c r="G460" s="267"/>
      <c r="H460" s="302"/>
      <c r="I460" s="298"/>
      <c r="J460" s="270"/>
      <c r="K460" s="263"/>
    </row>
    <row r="461" spans="1:11" s="246" customFormat="1" ht="18" customHeight="1" thickBot="1">
      <c r="A461" s="289" t="s">
        <v>1098</v>
      </c>
      <c r="B461" s="250" t="s">
        <v>814</v>
      </c>
      <c r="C461" s="250" t="s">
        <v>811</v>
      </c>
      <c r="D461" s="290">
        <f>D462</f>
        <v>954000000</v>
      </c>
      <c r="E461" s="290">
        <f>E462</f>
        <v>734280000</v>
      </c>
      <c r="F461" s="290">
        <f>F462</f>
        <v>954000000</v>
      </c>
      <c r="G461" s="290">
        <f>G462</f>
        <v>-219720000</v>
      </c>
      <c r="H461" s="291"/>
      <c r="I461" s="253"/>
      <c r="J461" s="254"/>
      <c r="K461" s="292"/>
    </row>
    <row r="462" spans="1:11" s="264" customFormat="1" ht="17.45" customHeight="1">
      <c r="A462" s="256" t="s">
        <v>136</v>
      </c>
      <c r="B462" s="257" t="s">
        <v>841</v>
      </c>
      <c r="C462" s="313" t="s">
        <v>1099</v>
      </c>
      <c r="D462" s="314">
        <v>954000000</v>
      </c>
      <c r="E462" s="314">
        <f>SUM(J463:J464)</f>
        <v>734280000</v>
      </c>
      <c r="F462" s="314">
        <v>954000000</v>
      </c>
      <c r="G462" s="259">
        <f>E462-D462</f>
        <v>-219720000</v>
      </c>
      <c r="H462" s="315"/>
      <c r="I462" s="299"/>
      <c r="J462" s="262"/>
      <c r="K462" s="311"/>
    </row>
    <row r="463" spans="1:11" s="264" customFormat="1" ht="17.45" customHeight="1">
      <c r="A463" s="256"/>
      <c r="B463" s="316"/>
      <c r="C463" s="257"/>
      <c r="D463" s="314"/>
      <c r="E463" s="317"/>
      <c r="F463" s="314"/>
      <c r="G463" s="259"/>
      <c r="H463" s="318" t="s">
        <v>847</v>
      </c>
      <c r="I463" s="261" t="s">
        <v>821</v>
      </c>
      <c r="J463" s="317">
        <v>410280000</v>
      </c>
      <c r="K463" s="311"/>
    </row>
    <row r="464" spans="1:11" s="264" customFormat="1" ht="17.45" customHeight="1">
      <c r="A464" s="256"/>
      <c r="B464" s="316"/>
      <c r="C464" s="313"/>
      <c r="D464" s="314"/>
      <c r="E464" s="317"/>
      <c r="F464" s="314"/>
      <c r="G464" s="259"/>
      <c r="H464" s="319" t="s">
        <v>883</v>
      </c>
      <c r="I464" s="261" t="s">
        <v>821</v>
      </c>
      <c r="J464" s="317">
        <f>270000000+54000000</f>
        <v>324000000</v>
      </c>
      <c r="K464" s="311"/>
    </row>
    <row r="465" spans="1:11" s="264" customFormat="1" ht="17.45" customHeight="1" thickBot="1">
      <c r="A465" s="320"/>
      <c r="B465" s="321"/>
      <c r="C465" s="322"/>
      <c r="D465" s="323"/>
      <c r="E465" s="324"/>
      <c r="F465" s="323"/>
      <c r="G465" s="325"/>
      <c r="H465" s="326"/>
      <c r="I465" s="327"/>
      <c r="J465" s="328"/>
      <c r="K465" s="311"/>
    </row>
    <row r="466" spans="1:11" s="246" customFormat="1" ht="20.100000000000001" customHeight="1" thickBot="1">
      <c r="A466" s="249" t="s">
        <v>808</v>
      </c>
      <c r="B466" s="248"/>
      <c r="C466" s="248" t="s">
        <v>811</v>
      </c>
      <c r="D466" s="329">
        <f>D467+D471+D493+D494+D497+D502+D503+D482+D491</f>
        <v>1249500000</v>
      </c>
      <c r="E466" s="329">
        <f>E467+E471+E493+E494+E497+E502+E503+E482+E491</f>
        <v>1196012273</v>
      </c>
      <c r="F466" s="329">
        <f>F467+F471+F493+F494+F497+F502+F503+F482+F491</f>
        <v>1249500000</v>
      </c>
      <c r="G466" s="329">
        <f>G467+G471+G493+G494+G497+G502+G503+G482+G491</f>
        <v>-53487727</v>
      </c>
      <c r="H466" s="330"/>
      <c r="I466" s="331"/>
      <c r="J466" s="332"/>
      <c r="K466" s="333"/>
    </row>
    <row r="467" spans="1:11" s="264" customFormat="1" ht="20.100000000000001" customHeight="1">
      <c r="A467" s="256"/>
      <c r="B467" s="257"/>
      <c r="C467" s="257" t="s">
        <v>938</v>
      </c>
      <c r="D467" s="258">
        <v>272000000</v>
      </c>
      <c r="E467" s="258">
        <v>215082633</v>
      </c>
      <c r="F467" s="258">
        <v>272000000</v>
      </c>
      <c r="G467" s="259">
        <f>E467-D467</f>
        <v>-56917367</v>
      </c>
      <c r="H467" s="318"/>
      <c r="I467" s="261"/>
      <c r="J467" s="262"/>
      <c r="K467" s="263"/>
    </row>
    <row r="468" spans="1:11" s="264" customFormat="1" ht="20.100000000000001" customHeight="1">
      <c r="A468" s="256"/>
      <c r="B468" s="257"/>
      <c r="C468" s="257"/>
      <c r="D468" s="258"/>
      <c r="E468" s="258"/>
      <c r="F468" s="258"/>
      <c r="G468" s="259"/>
      <c r="H468" s="318" t="s">
        <v>1100</v>
      </c>
      <c r="I468" s="261" t="s">
        <v>821</v>
      </c>
      <c r="J468" s="262">
        <v>119646590</v>
      </c>
      <c r="K468" s="263"/>
    </row>
    <row r="469" spans="1:11" s="264" customFormat="1" ht="20.100000000000001" customHeight="1">
      <c r="A469" s="256"/>
      <c r="B469" s="257"/>
      <c r="C469" s="257"/>
      <c r="D469" s="258"/>
      <c r="E469" s="258"/>
      <c r="F469" s="258"/>
      <c r="G469" s="259"/>
      <c r="H469" s="318" t="s">
        <v>1101</v>
      </c>
      <c r="I469" s="261" t="s">
        <v>821</v>
      </c>
      <c r="J469" s="262">
        <v>89594270</v>
      </c>
      <c r="K469" s="263"/>
    </row>
    <row r="470" spans="1:11" s="264" customFormat="1" ht="20.100000000000001" customHeight="1">
      <c r="A470" s="256"/>
      <c r="B470" s="257"/>
      <c r="C470" s="265"/>
      <c r="D470" s="266"/>
      <c r="E470" s="266"/>
      <c r="F470" s="266"/>
      <c r="G470" s="267"/>
      <c r="H470" s="334" t="s">
        <v>941</v>
      </c>
      <c r="I470" s="269" t="s">
        <v>821</v>
      </c>
      <c r="J470" s="270">
        <v>5841773</v>
      </c>
      <c r="K470" s="263"/>
    </row>
    <row r="471" spans="1:11" s="264" customFormat="1" ht="20.100000000000001" customHeight="1">
      <c r="A471" s="256"/>
      <c r="B471" s="257"/>
      <c r="C471" s="257" t="s">
        <v>1102</v>
      </c>
      <c r="D471" s="258">
        <f>642700000-310000000</f>
        <v>332700000</v>
      </c>
      <c r="E471" s="258">
        <f>SUM(J472:J481)</f>
        <v>610682900</v>
      </c>
      <c r="F471" s="258">
        <f>642700000-310000000</f>
        <v>332700000</v>
      </c>
      <c r="G471" s="259">
        <f>E471-D471</f>
        <v>277982900</v>
      </c>
      <c r="H471" s="260"/>
      <c r="I471" s="261"/>
      <c r="J471" s="262"/>
      <c r="K471" s="263"/>
    </row>
    <row r="472" spans="1:11" s="264" customFormat="1" ht="20.100000000000001" customHeight="1">
      <c r="A472" s="256"/>
      <c r="B472" s="257"/>
      <c r="C472" s="257"/>
      <c r="D472" s="258"/>
      <c r="E472" s="258"/>
      <c r="F472" s="258"/>
      <c r="G472" s="259"/>
      <c r="H472" s="260" t="s">
        <v>1103</v>
      </c>
      <c r="I472" s="261" t="s">
        <v>821</v>
      </c>
      <c r="J472" s="262">
        <v>405154840</v>
      </c>
      <c r="K472" s="263"/>
    </row>
    <row r="473" spans="1:11" s="264" customFormat="1" ht="20.100000000000001" customHeight="1">
      <c r="A473" s="256"/>
      <c r="B473" s="257"/>
      <c r="C473" s="257"/>
      <c r="D473" s="258"/>
      <c r="E473" s="258"/>
      <c r="F473" s="258"/>
      <c r="G473" s="259"/>
      <c r="H473" s="260" t="s">
        <v>848</v>
      </c>
      <c r="I473" s="261" t="s">
        <v>821</v>
      </c>
      <c r="J473" s="262">
        <v>68701000</v>
      </c>
      <c r="K473" s="263"/>
    </row>
    <row r="474" spans="1:11" s="264" customFormat="1" ht="20.100000000000001" customHeight="1">
      <c r="A474" s="256"/>
      <c r="B474" s="257"/>
      <c r="C474" s="257"/>
      <c r="D474" s="258"/>
      <c r="E474" s="258"/>
      <c r="F474" s="258"/>
      <c r="G474" s="259"/>
      <c r="H474" s="260" t="s">
        <v>1104</v>
      </c>
      <c r="I474" s="261" t="s">
        <v>821</v>
      </c>
      <c r="J474" s="262">
        <v>20500000</v>
      </c>
      <c r="K474" s="263"/>
    </row>
    <row r="475" spans="1:11" s="264" customFormat="1" ht="20.100000000000001" customHeight="1">
      <c r="A475" s="256"/>
      <c r="B475" s="257"/>
      <c r="C475" s="257"/>
      <c r="D475" s="258"/>
      <c r="E475" s="258"/>
      <c r="F475" s="258"/>
      <c r="G475" s="259"/>
      <c r="H475" s="260" t="s">
        <v>1026</v>
      </c>
      <c r="I475" s="261" t="s">
        <v>821</v>
      </c>
      <c r="J475" s="262">
        <v>24000000</v>
      </c>
      <c r="K475" s="263"/>
    </row>
    <row r="476" spans="1:11" s="264" customFormat="1" ht="20.100000000000001" customHeight="1">
      <c r="A476" s="256"/>
      <c r="B476" s="257"/>
      <c r="C476" s="257"/>
      <c r="D476" s="258"/>
      <c r="E476" s="258"/>
      <c r="F476" s="258"/>
      <c r="G476" s="259"/>
      <c r="H476" s="260" t="s">
        <v>1105</v>
      </c>
      <c r="I476" s="261" t="s">
        <v>821</v>
      </c>
      <c r="J476" s="262">
        <v>6316130</v>
      </c>
      <c r="K476" s="263"/>
    </row>
    <row r="477" spans="1:11" s="264" customFormat="1" ht="20.100000000000001" customHeight="1">
      <c r="A477" s="256"/>
      <c r="B477" s="257"/>
      <c r="C477" s="257"/>
      <c r="D477" s="258"/>
      <c r="E477" s="258"/>
      <c r="F477" s="258"/>
      <c r="G477" s="259"/>
      <c r="H477" s="260" t="s">
        <v>1106</v>
      </c>
      <c r="I477" s="261" t="s">
        <v>821</v>
      </c>
      <c r="J477" s="262">
        <v>2884200</v>
      </c>
      <c r="K477" s="263"/>
    </row>
    <row r="478" spans="1:11" s="264" customFormat="1" ht="20.100000000000001" customHeight="1">
      <c r="A478" s="256"/>
      <c r="B478" s="257"/>
      <c r="C478" s="257"/>
      <c r="D478" s="258"/>
      <c r="E478" s="258"/>
      <c r="F478" s="258"/>
      <c r="G478" s="259"/>
      <c r="H478" s="260" t="s">
        <v>1107</v>
      </c>
      <c r="I478" s="261" t="s">
        <v>821</v>
      </c>
      <c r="J478" s="262">
        <v>2746100</v>
      </c>
      <c r="K478" s="263"/>
    </row>
    <row r="479" spans="1:11" s="264" customFormat="1" ht="20.100000000000001" customHeight="1">
      <c r="A479" s="256"/>
      <c r="B479" s="257"/>
      <c r="C479" s="257"/>
      <c r="D479" s="258"/>
      <c r="E479" s="258"/>
      <c r="F479" s="258"/>
      <c r="G479" s="259"/>
      <c r="H479" s="260" t="s">
        <v>1108</v>
      </c>
      <c r="I479" s="261" t="s">
        <v>821</v>
      </c>
      <c r="J479" s="262">
        <v>20693000</v>
      </c>
      <c r="K479" s="263"/>
    </row>
    <row r="480" spans="1:11" s="264" customFormat="1" ht="20.100000000000001" customHeight="1">
      <c r="A480" s="256"/>
      <c r="B480" s="257"/>
      <c r="C480" s="257"/>
      <c r="D480" s="258"/>
      <c r="E480" s="258"/>
      <c r="F480" s="258"/>
      <c r="G480" s="259"/>
      <c r="H480" s="260" t="s">
        <v>790</v>
      </c>
      <c r="I480" s="261" t="s">
        <v>821</v>
      </c>
      <c r="J480" s="262">
        <v>35687630</v>
      </c>
      <c r="K480" s="263"/>
    </row>
    <row r="481" spans="1:11" s="264" customFormat="1" ht="20.100000000000001" customHeight="1">
      <c r="A481" s="256"/>
      <c r="B481" s="257"/>
      <c r="C481" s="265"/>
      <c r="D481" s="266"/>
      <c r="E481" s="266"/>
      <c r="F481" s="266"/>
      <c r="G481" s="267"/>
      <c r="H481" s="334" t="s">
        <v>1109</v>
      </c>
      <c r="I481" s="269" t="s">
        <v>821</v>
      </c>
      <c r="J481" s="270">
        <v>24000000</v>
      </c>
      <c r="K481" s="263"/>
    </row>
    <row r="482" spans="1:11" s="264" customFormat="1" ht="18" customHeight="1">
      <c r="A482" s="256"/>
      <c r="B482" s="257" t="s">
        <v>136</v>
      </c>
      <c r="C482" s="271" t="s">
        <v>1110</v>
      </c>
      <c r="D482" s="258">
        <v>20000000</v>
      </c>
      <c r="E482" s="258">
        <v>55588340</v>
      </c>
      <c r="F482" s="258">
        <v>20000000</v>
      </c>
      <c r="G482" s="259">
        <f>E482-D482</f>
        <v>35588340</v>
      </c>
      <c r="H482" s="295"/>
      <c r="I482" s="299"/>
      <c r="J482" s="262"/>
      <c r="K482" s="263"/>
    </row>
    <row r="483" spans="1:11" s="264" customFormat="1" ht="18" customHeight="1">
      <c r="A483" s="256"/>
      <c r="B483" s="257"/>
      <c r="C483" s="293"/>
      <c r="D483" s="258"/>
      <c r="E483" s="258"/>
      <c r="F483" s="258"/>
      <c r="G483" s="259"/>
      <c r="H483" s="295" t="s">
        <v>58</v>
      </c>
      <c r="I483" s="261" t="s">
        <v>821</v>
      </c>
      <c r="J483" s="262">
        <v>831600</v>
      </c>
      <c r="K483" s="263"/>
    </row>
    <row r="484" spans="1:11" s="264" customFormat="1" ht="18" customHeight="1">
      <c r="A484" s="256"/>
      <c r="B484" s="257"/>
      <c r="C484" s="293"/>
      <c r="D484" s="258"/>
      <c r="E484" s="258"/>
      <c r="F484" s="258"/>
      <c r="G484" s="259"/>
      <c r="H484" s="295" t="s">
        <v>993</v>
      </c>
      <c r="I484" s="261" t="s">
        <v>821</v>
      </c>
      <c r="J484" s="262">
        <v>5130890</v>
      </c>
      <c r="K484" s="263"/>
    </row>
    <row r="485" spans="1:11" s="264" customFormat="1" ht="18" customHeight="1">
      <c r="A485" s="256"/>
      <c r="B485" s="257"/>
      <c r="C485" s="293"/>
      <c r="D485" s="258"/>
      <c r="E485" s="258"/>
      <c r="F485" s="258"/>
      <c r="G485" s="259"/>
      <c r="H485" s="295" t="s">
        <v>222</v>
      </c>
      <c r="I485" s="261" t="s">
        <v>821</v>
      </c>
      <c r="J485" s="262">
        <v>12166800</v>
      </c>
      <c r="K485" s="263"/>
    </row>
    <row r="486" spans="1:11" s="264" customFormat="1" ht="18" customHeight="1">
      <c r="A486" s="256"/>
      <c r="B486" s="257"/>
      <c r="C486" s="293"/>
      <c r="D486" s="258"/>
      <c r="E486" s="258"/>
      <c r="F486" s="258"/>
      <c r="G486" s="259"/>
      <c r="H486" s="295" t="s">
        <v>1030</v>
      </c>
      <c r="I486" s="261" t="s">
        <v>821</v>
      </c>
      <c r="J486" s="262">
        <v>16380000</v>
      </c>
      <c r="K486" s="263"/>
    </row>
    <row r="487" spans="1:11" s="264" customFormat="1" ht="18" customHeight="1">
      <c r="A487" s="256"/>
      <c r="B487" s="257"/>
      <c r="C487" s="293"/>
      <c r="D487" s="258"/>
      <c r="E487" s="258"/>
      <c r="F487" s="258"/>
      <c r="G487" s="259"/>
      <c r="H487" s="295" t="s">
        <v>16</v>
      </c>
      <c r="I487" s="261" t="s">
        <v>821</v>
      </c>
      <c r="J487" s="262">
        <v>10230000</v>
      </c>
      <c r="K487" s="263"/>
    </row>
    <row r="488" spans="1:11" s="264" customFormat="1" ht="18" customHeight="1">
      <c r="A488" s="256"/>
      <c r="B488" s="257"/>
      <c r="C488" s="293"/>
      <c r="D488" s="258"/>
      <c r="E488" s="258"/>
      <c r="F488" s="258"/>
      <c r="G488" s="259"/>
      <c r="H488" s="295" t="s">
        <v>1111</v>
      </c>
      <c r="I488" s="261" t="s">
        <v>821</v>
      </c>
      <c r="J488" s="262">
        <v>5187600</v>
      </c>
      <c r="K488" s="263"/>
    </row>
    <row r="489" spans="1:11" s="264" customFormat="1" ht="18" customHeight="1">
      <c r="A489" s="256"/>
      <c r="B489" s="257"/>
      <c r="C489" s="293"/>
      <c r="D489" s="258"/>
      <c r="E489" s="258"/>
      <c r="F489" s="258"/>
      <c r="G489" s="259"/>
      <c r="H489" s="295" t="s">
        <v>1028</v>
      </c>
      <c r="I489" s="261" t="s">
        <v>821</v>
      </c>
      <c r="J489" s="262">
        <v>5661450</v>
      </c>
      <c r="K489" s="263"/>
    </row>
    <row r="490" spans="1:11" s="264" customFormat="1" ht="18" customHeight="1">
      <c r="A490" s="256"/>
      <c r="B490" s="257"/>
      <c r="C490" s="335"/>
      <c r="D490" s="266"/>
      <c r="E490" s="266"/>
      <c r="F490" s="266"/>
      <c r="G490" s="267"/>
      <c r="H490" s="297"/>
      <c r="I490" s="269"/>
      <c r="J490" s="270"/>
      <c r="K490" s="263"/>
    </row>
    <row r="491" spans="1:11" s="264" customFormat="1" ht="20.100000000000001" customHeight="1">
      <c r="A491" s="256"/>
      <c r="B491" s="257"/>
      <c r="C491" s="271" t="s">
        <v>1112</v>
      </c>
      <c r="D491" s="272">
        <v>20000000</v>
      </c>
      <c r="E491" s="272">
        <v>15000000</v>
      </c>
      <c r="F491" s="272">
        <v>20000000</v>
      </c>
      <c r="G491" s="273">
        <f t="shared" ref="G491" si="1">E491-D491</f>
        <v>-5000000</v>
      </c>
      <c r="H491" s="336" t="s">
        <v>1113</v>
      </c>
      <c r="I491" s="275" t="s">
        <v>821</v>
      </c>
      <c r="J491" s="276">
        <v>10000000</v>
      </c>
      <c r="K491" s="263"/>
    </row>
    <row r="492" spans="1:11" s="264" customFormat="1" ht="20.100000000000001" customHeight="1">
      <c r="A492" s="256"/>
      <c r="B492" s="257"/>
      <c r="C492" s="265"/>
      <c r="D492" s="266"/>
      <c r="E492" s="266"/>
      <c r="F492" s="266"/>
      <c r="G492" s="267"/>
      <c r="H492" s="334" t="s">
        <v>1114</v>
      </c>
      <c r="I492" s="269" t="s">
        <v>821</v>
      </c>
      <c r="J492" s="270">
        <v>5000000</v>
      </c>
      <c r="K492" s="263"/>
    </row>
    <row r="493" spans="1:11" s="264" customFormat="1" ht="20.100000000000001" customHeight="1">
      <c r="A493" s="256"/>
      <c r="B493" s="257"/>
      <c r="C493" s="278" t="s">
        <v>1115</v>
      </c>
      <c r="D493" s="279">
        <v>300000000</v>
      </c>
      <c r="E493" s="279">
        <v>0</v>
      </c>
      <c r="F493" s="279">
        <v>300000000</v>
      </c>
      <c r="G493" s="337">
        <f>E493-D493</f>
        <v>-300000000</v>
      </c>
      <c r="H493" s="338" t="s">
        <v>136</v>
      </c>
      <c r="I493" s="281" t="s">
        <v>821</v>
      </c>
      <c r="J493" s="282">
        <v>0</v>
      </c>
      <c r="K493" s="263"/>
    </row>
    <row r="494" spans="1:11" s="264" customFormat="1" ht="20.100000000000001" customHeight="1">
      <c r="A494" s="256"/>
      <c r="B494" s="257"/>
      <c r="C494" s="257" t="s">
        <v>1116</v>
      </c>
      <c r="D494" s="258">
        <v>61800000</v>
      </c>
      <c r="E494" s="258">
        <f>SUM(J494:J496)</f>
        <v>56658400</v>
      </c>
      <c r="F494" s="258">
        <v>61800000</v>
      </c>
      <c r="G494" s="259">
        <f>E494-D494</f>
        <v>-5141600</v>
      </c>
      <c r="H494" s="260" t="s">
        <v>1117</v>
      </c>
      <c r="I494" s="261" t="s">
        <v>821</v>
      </c>
      <c r="J494" s="262">
        <v>20000000</v>
      </c>
      <c r="K494" s="263"/>
    </row>
    <row r="495" spans="1:11" s="264" customFormat="1" ht="20.100000000000001" customHeight="1">
      <c r="A495" s="256"/>
      <c r="B495" s="257"/>
      <c r="C495" s="257"/>
      <c r="D495" s="258"/>
      <c r="E495" s="258"/>
      <c r="F495" s="258"/>
      <c r="G495" s="283"/>
      <c r="H495" s="260" t="s">
        <v>1118</v>
      </c>
      <c r="I495" s="261" t="s">
        <v>821</v>
      </c>
      <c r="J495" s="262">
        <v>20000000</v>
      </c>
      <c r="K495" s="263"/>
    </row>
    <row r="496" spans="1:11" s="264" customFormat="1" ht="20.100000000000001" customHeight="1">
      <c r="A496" s="256"/>
      <c r="B496" s="257"/>
      <c r="C496" s="265"/>
      <c r="D496" s="266"/>
      <c r="E496" s="266"/>
      <c r="F496" s="266"/>
      <c r="G496" s="277"/>
      <c r="H496" s="268" t="s">
        <v>1119</v>
      </c>
      <c r="I496" s="269" t="s">
        <v>821</v>
      </c>
      <c r="J496" s="270">
        <v>16658400</v>
      </c>
      <c r="K496" s="263"/>
    </row>
    <row r="497" spans="1:11" s="264" customFormat="1" ht="20.100000000000001" customHeight="1">
      <c r="A497" s="256"/>
      <c r="B497" s="257"/>
      <c r="C497" s="257" t="s">
        <v>1120</v>
      </c>
      <c r="D497" s="258">
        <v>30000000</v>
      </c>
      <c r="E497" s="258">
        <f>SUM(J497:J501)</f>
        <v>30000000</v>
      </c>
      <c r="F497" s="258">
        <v>30000000</v>
      </c>
      <c r="G497" s="339">
        <f>E497-D497</f>
        <v>0</v>
      </c>
      <c r="H497" s="260" t="s">
        <v>1121</v>
      </c>
      <c r="I497" s="261" t="s">
        <v>821</v>
      </c>
      <c r="J497" s="262">
        <v>10000000</v>
      </c>
      <c r="K497" s="263"/>
    </row>
    <row r="498" spans="1:11" s="264" customFormat="1" ht="20.100000000000001" customHeight="1">
      <c r="A498" s="256"/>
      <c r="B498" s="257"/>
      <c r="C498" s="257"/>
      <c r="D498" s="258"/>
      <c r="E498" s="258"/>
      <c r="F498" s="258"/>
      <c r="G498" s="283"/>
      <c r="H498" s="260" t="s">
        <v>1122</v>
      </c>
      <c r="I498" s="261" t="s">
        <v>821</v>
      </c>
      <c r="J498" s="262">
        <v>5000000</v>
      </c>
      <c r="K498" s="263"/>
    </row>
    <row r="499" spans="1:11" s="264" customFormat="1" ht="20.100000000000001" customHeight="1">
      <c r="A499" s="256"/>
      <c r="B499" s="257"/>
      <c r="C499" s="257"/>
      <c r="D499" s="258"/>
      <c r="E499" s="258"/>
      <c r="F499" s="258"/>
      <c r="G499" s="283"/>
      <c r="H499" s="260" t="s">
        <v>1123</v>
      </c>
      <c r="I499" s="261" t="s">
        <v>821</v>
      </c>
      <c r="J499" s="262">
        <v>5000000</v>
      </c>
      <c r="K499" s="263"/>
    </row>
    <row r="500" spans="1:11" s="264" customFormat="1" ht="20.100000000000001" customHeight="1">
      <c r="A500" s="256"/>
      <c r="B500" s="257"/>
      <c r="C500" s="257"/>
      <c r="D500" s="258"/>
      <c r="E500" s="258"/>
      <c r="F500" s="258"/>
      <c r="G500" s="283"/>
      <c r="H500" s="260" t="s">
        <v>1124</v>
      </c>
      <c r="I500" s="261" t="s">
        <v>821</v>
      </c>
      <c r="J500" s="262">
        <v>5000000</v>
      </c>
      <c r="K500" s="263"/>
    </row>
    <row r="501" spans="1:11" s="264" customFormat="1" ht="20.100000000000001" customHeight="1">
      <c r="A501" s="256"/>
      <c r="B501" s="257"/>
      <c r="C501" s="257"/>
      <c r="D501" s="258"/>
      <c r="E501" s="258"/>
      <c r="F501" s="258"/>
      <c r="G501" s="283"/>
      <c r="H501" s="260" t="s">
        <v>1125</v>
      </c>
      <c r="I501" s="261" t="s">
        <v>821</v>
      </c>
      <c r="J501" s="262">
        <v>5000000</v>
      </c>
      <c r="K501" s="263"/>
    </row>
    <row r="502" spans="1:11" s="264" customFormat="1" ht="20.100000000000001" customHeight="1">
      <c r="A502" s="256"/>
      <c r="B502" s="257"/>
      <c r="C502" s="278" t="s">
        <v>1126</v>
      </c>
      <c r="D502" s="279">
        <v>160000000</v>
      </c>
      <c r="E502" s="279">
        <v>160000000</v>
      </c>
      <c r="F502" s="279">
        <v>160000000</v>
      </c>
      <c r="G502" s="340">
        <f>E502-D502</f>
        <v>0</v>
      </c>
      <c r="H502" s="338"/>
      <c r="I502" s="281" t="s">
        <v>821</v>
      </c>
      <c r="J502" s="282">
        <v>0</v>
      </c>
      <c r="K502" s="263"/>
    </row>
    <row r="503" spans="1:11" s="264" customFormat="1" ht="20.100000000000001" customHeight="1">
      <c r="A503" s="256"/>
      <c r="B503" s="257"/>
      <c r="C503" s="257" t="s">
        <v>1127</v>
      </c>
      <c r="D503" s="258">
        <v>53000000</v>
      </c>
      <c r="E503" s="258">
        <v>53000000</v>
      </c>
      <c r="F503" s="258">
        <v>53000000</v>
      </c>
      <c r="G503" s="339">
        <f>E503-D503</f>
        <v>0</v>
      </c>
      <c r="H503" s="318"/>
      <c r="I503" s="261" t="s">
        <v>821</v>
      </c>
      <c r="J503" s="262">
        <v>0</v>
      </c>
      <c r="K503" s="263"/>
    </row>
    <row r="504" spans="1:11" s="264" customFormat="1" ht="20.100000000000001" customHeight="1" thickBot="1">
      <c r="A504" s="256"/>
      <c r="B504" s="257"/>
      <c r="C504" s="257"/>
      <c r="D504" s="258"/>
      <c r="E504" s="258"/>
      <c r="F504" s="258"/>
      <c r="G504" s="258"/>
      <c r="H504" s="260"/>
      <c r="I504" s="261"/>
      <c r="J504" s="262"/>
      <c r="K504" s="263"/>
    </row>
    <row r="505" spans="1:11" s="246" customFormat="1" ht="20.100000000000001" customHeight="1" thickBot="1">
      <c r="A505" s="289" t="s">
        <v>85</v>
      </c>
      <c r="B505" s="250"/>
      <c r="C505" s="250" t="s">
        <v>811</v>
      </c>
      <c r="D505" s="290">
        <f>SUM(D506:D524)</f>
        <v>378638263</v>
      </c>
      <c r="E505" s="290">
        <f t="shared" ref="E505:G505" si="2">SUM(E506:E524)</f>
        <v>1001612069</v>
      </c>
      <c r="F505" s="290">
        <f>SUM(F506:F524)</f>
        <v>378638263</v>
      </c>
      <c r="G505" s="290">
        <f t="shared" si="2"/>
        <v>901612069</v>
      </c>
      <c r="H505" s="341"/>
      <c r="I505" s="253"/>
      <c r="J505" s="254"/>
      <c r="K505" s="333"/>
    </row>
    <row r="506" spans="1:11" s="264" customFormat="1" ht="20.100000000000001" customHeight="1">
      <c r="A506" s="256"/>
      <c r="B506" s="257"/>
      <c r="C506" s="257" t="s">
        <v>85</v>
      </c>
      <c r="D506" s="258">
        <v>100000000</v>
      </c>
      <c r="E506" s="258">
        <f>SUM(J507:J524)</f>
        <v>1001612069</v>
      </c>
      <c r="F506" s="258">
        <v>100000000</v>
      </c>
      <c r="G506" s="259">
        <f>E506+E507+E516+E517-D506</f>
        <v>901612069</v>
      </c>
      <c r="H506" s="318"/>
      <c r="I506" s="261"/>
      <c r="J506" s="262"/>
      <c r="K506" s="263"/>
    </row>
    <row r="507" spans="1:11" s="264" customFormat="1" ht="20.100000000000001" customHeight="1">
      <c r="A507" s="256"/>
      <c r="B507" s="257"/>
      <c r="C507" s="257" t="s">
        <v>1128</v>
      </c>
      <c r="D507" s="258">
        <v>278638263</v>
      </c>
      <c r="E507" s="258"/>
      <c r="F507" s="258">
        <v>278638263</v>
      </c>
      <c r="G507" s="259"/>
      <c r="H507" s="342" t="s">
        <v>1129</v>
      </c>
      <c r="I507" s="261" t="s">
        <v>821</v>
      </c>
      <c r="J507" s="119">
        <v>20000595</v>
      </c>
      <c r="K507" s="263"/>
    </row>
    <row r="508" spans="1:11" s="264" customFormat="1" ht="20.100000000000001" customHeight="1">
      <c r="A508" s="256"/>
      <c r="B508" s="257"/>
      <c r="C508" s="257"/>
      <c r="D508" s="258"/>
      <c r="E508" s="258"/>
      <c r="F508" s="258"/>
      <c r="G508" s="259"/>
      <c r="H508" s="342" t="s">
        <v>1130</v>
      </c>
      <c r="I508" s="261" t="s">
        <v>821</v>
      </c>
      <c r="J508" s="119">
        <v>10800000</v>
      </c>
      <c r="K508" s="263"/>
    </row>
    <row r="509" spans="1:11" s="264" customFormat="1" ht="20.100000000000001" customHeight="1">
      <c r="A509" s="256"/>
      <c r="B509" s="257"/>
      <c r="C509" s="257"/>
      <c r="D509" s="258"/>
      <c r="E509" s="258"/>
      <c r="F509" s="258"/>
      <c r="G509" s="259"/>
      <c r="H509" s="342" t="s">
        <v>1131</v>
      </c>
      <c r="I509" s="261" t="s">
        <v>821</v>
      </c>
      <c r="J509" s="119">
        <v>100000000</v>
      </c>
      <c r="K509" s="263"/>
    </row>
    <row r="510" spans="1:11" s="264" customFormat="1" ht="20.100000000000001" customHeight="1">
      <c r="A510" s="256"/>
      <c r="B510" s="257"/>
      <c r="C510" s="257"/>
      <c r="D510" s="258"/>
      <c r="E510" s="258"/>
      <c r="F510" s="258"/>
      <c r="G510" s="259"/>
      <c r="H510" s="342" t="s">
        <v>1132</v>
      </c>
      <c r="I510" s="261" t="s">
        <v>821</v>
      </c>
      <c r="J510" s="119">
        <v>1722950</v>
      </c>
      <c r="K510" s="263"/>
    </row>
    <row r="511" spans="1:11" s="264" customFormat="1" ht="20.100000000000001" customHeight="1">
      <c r="A511" s="256"/>
      <c r="B511" s="257"/>
      <c r="C511" s="257"/>
      <c r="D511" s="258"/>
      <c r="E511" s="258"/>
      <c r="F511" s="258"/>
      <c r="G511" s="259"/>
      <c r="H511" s="342" t="s">
        <v>1133</v>
      </c>
      <c r="I511" s="261" t="s">
        <v>821</v>
      </c>
      <c r="J511" s="119">
        <v>13890000</v>
      </c>
      <c r="K511" s="263"/>
    </row>
    <row r="512" spans="1:11" s="264" customFormat="1" ht="20.100000000000001" customHeight="1">
      <c r="A512" s="256"/>
      <c r="B512" s="257"/>
      <c r="C512" s="257"/>
      <c r="D512" s="258"/>
      <c r="E512" s="258"/>
      <c r="F512" s="258"/>
      <c r="G512" s="259"/>
      <c r="H512" s="342" t="s">
        <v>1134</v>
      </c>
      <c r="I512" s="261" t="s">
        <v>821</v>
      </c>
      <c r="J512" s="119">
        <v>471875</v>
      </c>
      <c r="K512" s="263"/>
    </row>
    <row r="513" spans="1:11" s="264" customFormat="1" ht="20.100000000000001" customHeight="1">
      <c r="A513" s="256"/>
      <c r="B513" s="257"/>
      <c r="C513" s="257"/>
      <c r="D513" s="258"/>
      <c r="E513" s="258"/>
      <c r="F513" s="258"/>
      <c r="G513" s="259"/>
      <c r="H513" s="342" t="s">
        <v>1135</v>
      </c>
      <c r="I513" s="261" t="s">
        <v>821</v>
      </c>
      <c r="J513" s="119">
        <f>57338080+4495100</f>
        <v>61833180</v>
      </c>
      <c r="K513" s="263"/>
    </row>
    <row r="514" spans="1:11" s="264" customFormat="1" ht="20.100000000000001" customHeight="1">
      <c r="A514" s="256"/>
      <c r="B514" s="257"/>
      <c r="C514" s="257"/>
      <c r="D514" s="258"/>
      <c r="E514" s="258"/>
      <c r="F514" s="258"/>
      <c r="G514" s="259"/>
      <c r="H514" s="342" t="s">
        <v>1136</v>
      </c>
      <c r="I514" s="261" t="s">
        <v>821</v>
      </c>
      <c r="J514" s="119">
        <f>67690590+174000000+26122717+1100000</f>
        <v>268913307</v>
      </c>
      <c r="K514" s="263"/>
    </row>
    <row r="515" spans="1:11" s="264" customFormat="1" ht="20.100000000000001" customHeight="1">
      <c r="A515" s="256"/>
      <c r="B515" s="257"/>
      <c r="C515" s="257"/>
      <c r="D515" s="258"/>
      <c r="E515" s="258"/>
      <c r="F515" s="258"/>
      <c r="G515" s="283"/>
      <c r="H515" s="342" t="s">
        <v>1137</v>
      </c>
      <c r="I515" s="261" t="s">
        <v>821</v>
      </c>
      <c r="J515" s="119">
        <v>25952621</v>
      </c>
      <c r="K515" s="263"/>
    </row>
    <row r="516" spans="1:11" s="264" customFormat="1" ht="20.100000000000001" customHeight="1">
      <c r="A516" s="256"/>
      <c r="B516" s="257"/>
      <c r="C516" s="257"/>
      <c r="D516" s="258"/>
      <c r="E516" s="258"/>
      <c r="F516" s="258"/>
      <c r="G516" s="259"/>
      <c r="H516" s="343" t="s">
        <v>919</v>
      </c>
      <c r="I516" s="261" t="s">
        <v>821</v>
      </c>
      <c r="J516" s="119">
        <v>4000000</v>
      </c>
      <c r="K516" s="263"/>
    </row>
    <row r="517" spans="1:11" s="264" customFormat="1" ht="20.100000000000001" customHeight="1">
      <c r="A517" s="256"/>
      <c r="B517" s="257"/>
      <c r="C517" s="257"/>
      <c r="D517" s="258"/>
      <c r="E517" s="258"/>
      <c r="F517" s="258"/>
      <c r="G517" s="259"/>
      <c r="H517" s="343" t="s">
        <v>1138</v>
      </c>
      <c r="I517" s="261" t="s">
        <v>821</v>
      </c>
      <c r="J517" s="344">
        <v>19450000</v>
      </c>
      <c r="K517" s="263"/>
    </row>
    <row r="518" spans="1:11" s="264" customFormat="1" ht="20.100000000000001" customHeight="1">
      <c r="A518" s="256"/>
      <c r="B518" s="257"/>
      <c r="C518" s="257"/>
      <c r="D518" s="258"/>
      <c r="E518" s="258"/>
      <c r="F518" s="258"/>
      <c r="G518" s="283"/>
      <c r="H518" s="343" t="s">
        <v>968</v>
      </c>
      <c r="I518" s="261" t="s">
        <v>821</v>
      </c>
      <c r="J518" s="345">
        <v>120000000</v>
      </c>
      <c r="K518" s="263"/>
    </row>
    <row r="519" spans="1:11" s="264" customFormat="1" ht="20.100000000000001" customHeight="1">
      <c r="A519" s="256"/>
      <c r="B519" s="257"/>
      <c r="C519" s="257"/>
      <c r="D519" s="258"/>
      <c r="E519" s="258"/>
      <c r="F519" s="258"/>
      <c r="G519" s="283"/>
      <c r="H519" s="343" t="s">
        <v>1139</v>
      </c>
      <c r="I519" s="261" t="s">
        <v>821</v>
      </c>
      <c r="J519" s="345">
        <v>3920000</v>
      </c>
      <c r="K519" s="263"/>
    </row>
    <row r="520" spans="1:11" s="264" customFormat="1" ht="20.100000000000001" customHeight="1">
      <c r="A520" s="256"/>
      <c r="B520" s="257"/>
      <c r="C520" s="257"/>
      <c r="D520" s="258"/>
      <c r="E520" s="258"/>
      <c r="F520" s="258"/>
      <c r="G520" s="283"/>
      <c r="H520" s="343" t="s">
        <v>962</v>
      </c>
      <c r="I520" s="261" t="s">
        <v>821</v>
      </c>
      <c r="J520" s="119">
        <v>65556815</v>
      </c>
      <c r="K520" s="263"/>
    </row>
    <row r="521" spans="1:11" s="264" customFormat="1" ht="20.100000000000001" customHeight="1">
      <c r="A521" s="256"/>
      <c r="B521" s="257"/>
      <c r="C521" s="257"/>
      <c r="D521" s="258"/>
      <c r="E521" s="258"/>
      <c r="F521" s="258"/>
      <c r="G521" s="283"/>
      <c r="H521" s="343" t="s">
        <v>1140</v>
      </c>
      <c r="I521" s="261" t="s">
        <v>821</v>
      </c>
      <c r="J521" s="119">
        <v>160641</v>
      </c>
      <c r="K521" s="263"/>
    </row>
    <row r="522" spans="1:11" s="264" customFormat="1" ht="20.100000000000001" customHeight="1">
      <c r="A522" s="256"/>
      <c r="B522" s="257"/>
      <c r="C522" s="257"/>
      <c r="D522" s="258"/>
      <c r="E522" s="258"/>
      <c r="F522" s="258"/>
      <c r="G522" s="283"/>
      <c r="H522" s="343" t="s">
        <v>1141</v>
      </c>
      <c r="I522" s="261" t="s">
        <v>821</v>
      </c>
      <c r="J522" s="119">
        <v>17619940</v>
      </c>
      <c r="K522" s="263"/>
    </row>
    <row r="523" spans="1:11" s="264" customFormat="1" ht="20.100000000000001" customHeight="1">
      <c r="A523" s="256"/>
      <c r="B523" s="257"/>
      <c r="C523" s="257"/>
      <c r="D523" s="258"/>
      <c r="E523" s="258"/>
      <c r="F523" s="258"/>
      <c r="G523" s="283"/>
      <c r="H523" s="346" t="s">
        <v>1142</v>
      </c>
      <c r="I523" s="261" t="s">
        <v>821</v>
      </c>
      <c r="J523" s="344">
        <v>1297723</v>
      </c>
      <c r="K523" s="263"/>
    </row>
    <row r="524" spans="1:11" s="264" customFormat="1" ht="20.100000000000001" customHeight="1">
      <c r="A524" s="256"/>
      <c r="B524" s="257"/>
      <c r="C524" s="257"/>
      <c r="D524" s="258"/>
      <c r="E524" s="258"/>
      <c r="F524" s="258"/>
      <c r="G524" s="283"/>
      <c r="H524" s="347" t="s">
        <v>1128</v>
      </c>
      <c r="I524" s="261" t="s">
        <v>821</v>
      </c>
      <c r="J524" s="344">
        <v>266022422</v>
      </c>
      <c r="K524" s="263"/>
    </row>
    <row r="525" spans="1:11" s="264" customFormat="1" ht="20.100000000000001" customHeight="1" thickBot="1">
      <c r="A525" s="320"/>
      <c r="B525" s="322"/>
      <c r="C525" s="322" t="s">
        <v>136</v>
      </c>
      <c r="D525" s="348"/>
      <c r="E525" s="348"/>
      <c r="F525" s="348"/>
      <c r="G525" s="349"/>
      <c r="H525" s="350"/>
      <c r="I525" s="351"/>
      <c r="J525" s="328"/>
      <c r="K525" s="263"/>
    </row>
    <row r="526" spans="1:11" s="246" customFormat="1" ht="20.100000000000001" customHeight="1" thickBot="1">
      <c r="A526" s="352" t="s">
        <v>807</v>
      </c>
      <c r="B526" s="250" t="s">
        <v>136</v>
      </c>
      <c r="C526" s="250" t="s">
        <v>187</v>
      </c>
      <c r="D526" s="290">
        <v>0</v>
      </c>
      <c r="E526" s="290">
        <v>351965256</v>
      </c>
      <c r="F526" s="290">
        <v>0</v>
      </c>
      <c r="G526" s="353"/>
      <c r="H526" s="341"/>
      <c r="I526" s="253"/>
      <c r="J526" s="254"/>
      <c r="K526" s="333"/>
    </row>
    <row r="527" spans="1:11" s="246" customFormat="1" ht="20.100000000000001" customHeight="1" thickBot="1">
      <c r="A527" s="419" t="s">
        <v>188</v>
      </c>
      <c r="B527" s="420"/>
      <c r="C527" s="421"/>
      <c r="D527" s="290">
        <f>D5+D58+D179+D329+D461+D466+D505+D526</f>
        <v>8059714363</v>
      </c>
      <c r="E527" s="290">
        <f>E5+E58+E179+E329+E461+E466+E505+E526</f>
        <v>8704847272</v>
      </c>
      <c r="F527" s="290">
        <f>F5+F58+F179+F329+F461+F466+F505+F526</f>
        <v>8059714363</v>
      </c>
      <c r="G527" s="353"/>
      <c r="H527" s="341"/>
      <c r="I527" s="253"/>
      <c r="J527" s="254"/>
      <c r="K527" s="354"/>
    </row>
    <row r="528" spans="1:11" s="246" customFormat="1" ht="20.100000000000001" customHeight="1">
      <c r="A528" s="355"/>
      <c r="B528" s="355"/>
      <c r="C528" s="355"/>
      <c r="D528" s="356"/>
      <c r="E528" s="356"/>
      <c r="F528" s="356"/>
      <c r="G528" s="357"/>
      <c r="H528" s="358"/>
      <c r="I528" s="359"/>
      <c r="J528" s="356"/>
      <c r="K528" s="360"/>
    </row>
    <row r="529" spans="1:11" s="246" customFormat="1" ht="20.100000000000001" customHeight="1">
      <c r="A529" s="355"/>
      <c r="B529" s="355"/>
      <c r="C529" s="355"/>
      <c r="D529" s="356"/>
      <c r="E529" s="356"/>
      <c r="F529" s="356"/>
      <c r="G529" s="357"/>
      <c r="H529" s="358"/>
      <c r="I529" s="359"/>
      <c r="J529" s="356"/>
      <c r="K529" s="360"/>
    </row>
    <row r="530" spans="1:11" s="246" customFormat="1" ht="20.100000000000001" hidden="1" customHeight="1">
      <c r="A530" s="355"/>
      <c r="B530" s="355"/>
      <c r="C530" s="355"/>
      <c r="D530" s="356"/>
      <c r="E530" s="356"/>
      <c r="F530" s="356"/>
      <c r="G530" s="357"/>
      <c r="H530" s="358"/>
      <c r="I530" s="359"/>
      <c r="J530" s="356"/>
      <c r="K530" s="360"/>
    </row>
    <row r="531" spans="1:11" s="246" customFormat="1" ht="20.100000000000001" hidden="1" customHeight="1">
      <c r="A531" s="355"/>
      <c r="B531" s="355"/>
      <c r="C531" s="355"/>
      <c r="D531" s="356"/>
      <c r="E531" s="356"/>
      <c r="F531" s="356"/>
      <c r="G531" s="357"/>
      <c r="H531" s="358"/>
      <c r="I531" s="359"/>
      <c r="J531" s="356"/>
      <c r="K531" s="360"/>
    </row>
    <row r="532" spans="1:11" s="246" customFormat="1" ht="20.100000000000001" hidden="1" customHeight="1">
      <c r="A532" s="355"/>
      <c r="B532" s="355"/>
      <c r="C532" s="355"/>
      <c r="D532" s="356"/>
      <c r="E532" s="356"/>
      <c r="F532" s="356"/>
      <c r="G532" s="357"/>
      <c r="H532" s="358"/>
      <c r="I532" s="359"/>
      <c r="J532" s="356"/>
      <c r="K532" s="360"/>
    </row>
    <row r="533" spans="1:11" s="246" customFormat="1" ht="20.100000000000001" hidden="1" customHeight="1">
      <c r="A533" s="355"/>
      <c r="B533" s="355"/>
      <c r="C533" s="355"/>
      <c r="D533" s="356"/>
      <c r="E533" s="356"/>
      <c r="F533" s="356"/>
      <c r="G533" s="357"/>
      <c r="H533" s="358"/>
      <c r="I533" s="359"/>
      <c r="J533" s="356"/>
      <c r="K533" s="360"/>
    </row>
    <row r="534" spans="1:11" s="246" customFormat="1" ht="20.100000000000001" hidden="1" customHeight="1">
      <c r="A534" s="355"/>
      <c r="B534" s="355"/>
      <c r="C534" s="355"/>
      <c r="D534" s="356"/>
      <c r="E534" s="356"/>
      <c r="F534" s="356"/>
      <c r="G534" s="357"/>
      <c r="H534" s="358"/>
      <c r="I534" s="359"/>
      <c r="J534" s="356"/>
      <c r="K534" s="360"/>
    </row>
    <row r="535" spans="1:11" s="246" customFormat="1" ht="20.100000000000001" hidden="1" customHeight="1">
      <c r="A535" s="355"/>
      <c r="B535" s="355"/>
      <c r="C535" s="355"/>
      <c r="D535" s="356"/>
      <c r="E535" s="356"/>
      <c r="F535" s="356"/>
      <c r="G535" s="357"/>
      <c r="H535" s="358"/>
      <c r="I535" s="359"/>
      <c r="J535" s="356"/>
      <c r="K535" s="360"/>
    </row>
    <row r="536" spans="1:11" s="246" customFormat="1" ht="20.100000000000001" hidden="1" customHeight="1">
      <c r="A536" s="355"/>
      <c r="B536" s="355"/>
      <c r="C536" s="355"/>
      <c r="D536" s="356"/>
      <c r="E536" s="356"/>
      <c r="F536" s="356"/>
      <c r="G536" s="357"/>
      <c r="H536" s="358"/>
      <c r="I536" s="359"/>
      <c r="J536" s="356"/>
      <c r="K536" s="360"/>
    </row>
    <row r="537" spans="1:11" s="246" customFormat="1" ht="20.100000000000001" hidden="1" customHeight="1">
      <c r="A537" s="355"/>
      <c r="B537" s="355"/>
      <c r="C537" s="355"/>
      <c r="D537" s="356"/>
      <c r="E537" s="356"/>
      <c r="F537" s="356"/>
      <c r="G537" s="357"/>
      <c r="H537" s="358"/>
      <c r="I537" s="359"/>
      <c r="J537" s="356"/>
      <c r="K537" s="360"/>
    </row>
    <row r="538" spans="1:11" s="246" customFormat="1" ht="20.100000000000001" hidden="1" customHeight="1">
      <c r="A538" s="355"/>
      <c r="B538" s="355"/>
      <c r="C538" s="355"/>
      <c r="D538" s="356"/>
      <c r="E538" s="356"/>
      <c r="F538" s="356"/>
      <c r="G538" s="357"/>
      <c r="H538" s="358"/>
      <c r="I538" s="359"/>
      <c r="J538" s="356"/>
      <c r="K538" s="360"/>
    </row>
    <row r="539" spans="1:11" ht="18" hidden="1" customHeight="1">
      <c r="D539" s="52">
        <v>9738739077</v>
      </c>
      <c r="E539" s="52">
        <v>9752398241</v>
      </c>
      <c r="F539" s="52">
        <v>9738739077</v>
      </c>
    </row>
    <row r="540" spans="1:11" ht="16.5" hidden="1" customHeight="1">
      <c r="D540" s="52">
        <f>D539-D527</f>
        <v>1679024714</v>
      </c>
      <c r="E540" s="52">
        <f>E539-E527</f>
        <v>1047550969</v>
      </c>
      <c r="F540" s="52">
        <f>F539-F527</f>
        <v>1679024714</v>
      </c>
    </row>
    <row r="541" spans="1:11" ht="16.5" hidden="1" customHeight="1"/>
    <row r="542" spans="1:11" ht="16.5" hidden="1" customHeight="1"/>
  </sheetData>
  <mergeCells count="9">
    <mergeCell ref="A527:C527"/>
    <mergeCell ref="F3:F4"/>
    <mergeCell ref="A1:K1"/>
    <mergeCell ref="A3:C3"/>
    <mergeCell ref="D3:D4"/>
    <mergeCell ref="E3:E4"/>
    <mergeCell ref="G3:G4"/>
    <mergeCell ref="H3:J4"/>
    <mergeCell ref="K3:K4"/>
  </mergeCells>
  <phoneticPr fontId="2" type="noConversion"/>
  <pageMargins left="0.45" right="0.27559055118110237" top="0.6692913385826772" bottom="0.43307086614173229" header="0.31496062992125984" footer="0.31496062992125984"/>
  <pageSetup paperSize="12" scale="65" orientation="portrait" verticalDpi="300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수입내역</vt:lpstr>
      <vt:lpstr>2009지출세부내역</vt:lpstr>
      <vt:lpstr>지출내역</vt:lpstr>
      <vt:lpstr>지출내역!Print_Area</vt:lpstr>
      <vt:lpstr>'2009지출세부내역'!Print_Titles</vt:lpstr>
      <vt:lpstr>수입내역!Print_Titles</vt:lpstr>
      <vt:lpstr>지출내역!Print_Titles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samsung</cp:lastModifiedBy>
  <cp:lastPrinted>2016-03-15T05:03:31Z</cp:lastPrinted>
  <dcterms:created xsi:type="dcterms:W3CDTF">2006-03-26T23:24:20Z</dcterms:created>
  <dcterms:modified xsi:type="dcterms:W3CDTF">2016-03-15T05:12:08Z</dcterms:modified>
</cp:coreProperties>
</file>